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6"/>
  </bookViews>
  <sheets>
    <sheet name="Лист65" sheetId="1" r:id="rId1"/>
    <sheet name="Двоеборье люб" sheetId="2" r:id="rId2"/>
    <sheet name="Люб. присед б.э." sheetId="3" r:id="rId3"/>
    <sheet name="ПРО тяга б.э." sheetId="4" r:id="rId4"/>
    <sheet name="Люб. тяга б.э." sheetId="5" r:id="rId5"/>
    <sheet name="ПРО жим б.э." sheetId="6" r:id="rId6"/>
    <sheet name="Люб. жим б.э." sheetId="7" r:id="rId7"/>
    <sheet name="ПРО ПЛ. софт экип." sheetId="8" r:id="rId8"/>
    <sheet name="Люб. ПЛ. софт экип." sheetId="9" r:id="rId9"/>
    <sheet name="ПРО ПЛ. б.э." sheetId="10" r:id="rId10"/>
    <sheet name="Люб. ПЛ. б.э." sheetId="11" r:id="rId11"/>
    <sheet name="Пауэрспорт Любители" sheetId="12" r:id="rId12"/>
    <sheet name="Бицепс Профессионалы" sheetId="13" r:id="rId13"/>
    <sheet name="Бицепс Любители" sheetId="14" r:id="rId14"/>
    <sheet name="РЖ любители 55 кг." sheetId="15" r:id="rId15"/>
    <sheet name="РЖ любители 35 кг." sheetId="16" r:id="rId16"/>
    <sheet name="14-28-33РЖ Проф 55 кг." sheetId="17" r:id="rId17"/>
    <sheet name="Люб. народный жим 1_2 вес" sheetId="18" r:id="rId18"/>
    <sheet name="Люб. народный жим 1 вес" sheetId="19" r:id="rId19"/>
  </sheets>
  <definedNames/>
  <calcPr fullCalcOnLoad="1"/>
</workbook>
</file>

<file path=xl/sharedStrings.xml><?xml version="1.0" encoding="utf-8"?>
<sst xmlns="http://schemas.openxmlformats.org/spreadsheetml/2006/main" count="2218" uniqueCount="674">
  <si>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</si>
  <si>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</si>
  <si>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</si>
  <si>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</si>
  <si>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</si>
  <si>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</si>
  <si>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</si>
  <si>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</si>
  <si>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</si>
  <si>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</si>
  <si>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</si>
  <si>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</si>
  <si>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</si>
  <si>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</si>
  <si>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</si>
  <si>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</si>
  <si>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</si>
  <si>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</si>
  <si>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</si>
  <si>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Областной турнир по силовым видам спорта
Любители пауэрлифтинг без экипировки
Кемерово/Кемеровская область июня 2019 г.</t>
  </si>
  <si>
    <t>Shv/Mel</t>
  </si>
  <si>
    <t>Приседание</t>
  </si>
  <si>
    <t>Жим лёжа</t>
  </si>
  <si>
    <t>Становая тяга</t>
  </si>
  <si>
    <t>ВЕСОВАЯ КАТЕГОРИЯ   48</t>
  </si>
  <si>
    <t>Мухомедзянова Айгуль</t>
  </si>
  <si>
    <t>1. Мухомедзянова Айгуль</t>
  </si>
  <si>
    <t>Открытая (11.12.1994)/24</t>
  </si>
  <si>
    <t>48,00</t>
  </si>
  <si>
    <t xml:space="preserve">лично </t>
  </si>
  <si>
    <t xml:space="preserve">Новокузнецк/Кемеровская область </t>
  </si>
  <si>
    <t>67,5</t>
  </si>
  <si>
    <t>75,0</t>
  </si>
  <si>
    <t>80,0</t>
  </si>
  <si>
    <t>37,5</t>
  </si>
  <si>
    <t>42,5</t>
  </si>
  <si>
    <t>45,0</t>
  </si>
  <si>
    <t>77,5</t>
  </si>
  <si>
    <t>82,5</t>
  </si>
  <si>
    <t xml:space="preserve"> </t>
  </si>
  <si>
    <t>ВЕСОВАЯ КАТЕГОРИЯ   52</t>
  </si>
  <si>
    <t>Грекова Алена</t>
  </si>
  <si>
    <t>1. Грекова Алена</t>
  </si>
  <si>
    <t>Открытая (28.05.1989)/30</t>
  </si>
  <si>
    <t>50,90</t>
  </si>
  <si>
    <t xml:space="preserve">Кемерово/Кемеровская область </t>
  </si>
  <si>
    <t>50,0</t>
  </si>
  <si>
    <t>52,5</t>
  </si>
  <si>
    <t>100,0</t>
  </si>
  <si>
    <t>112,5</t>
  </si>
  <si>
    <t xml:space="preserve">Овечкин А. </t>
  </si>
  <si>
    <t>ВЕСОВАЯ КАТЕГОРИЯ   67.5</t>
  </si>
  <si>
    <t>Гаврилова Ксения</t>
  </si>
  <si>
    <t>1. Гаврилова Ксения</t>
  </si>
  <si>
    <t>Девушки 18 - 19 (09.09.2000)/18</t>
  </si>
  <si>
    <t>67,50</t>
  </si>
  <si>
    <t xml:space="preserve">Вайнс </t>
  </si>
  <si>
    <t>110,0</t>
  </si>
  <si>
    <t>115,0</t>
  </si>
  <si>
    <t>120,0</t>
  </si>
  <si>
    <t>65,0</t>
  </si>
  <si>
    <t>70,0</t>
  </si>
  <si>
    <t>117,5</t>
  </si>
  <si>
    <t>125,0</t>
  </si>
  <si>
    <t xml:space="preserve">Хоронжак И </t>
  </si>
  <si>
    <t>Богер Иван</t>
  </si>
  <si>
    <t>1. Богер Иван</t>
  </si>
  <si>
    <t>Юноши 0-13 (13.03.2006)/13</t>
  </si>
  <si>
    <t>51,50</t>
  </si>
  <si>
    <t>57,5</t>
  </si>
  <si>
    <t>60,0</t>
  </si>
  <si>
    <t>Газизов Даниил</t>
  </si>
  <si>
    <t>2. Газизов Даниил</t>
  </si>
  <si>
    <t>Юноши 0-13 (06.07.2006)/12</t>
  </si>
  <si>
    <t>43,30</t>
  </si>
  <si>
    <t>40,0</t>
  </si>
  <si>
    <t>ВЕСОВАЯ КАТЕГОРИЯ   60</t>
  </si>
  <si>
    <t>Бреднев Максим</t>
  </si>
  <si>
    <t>1. Бреднев Максим</t>
  </si>
  <si>
    <t>Юноши 14-15 (16.06.2003)/15</t>
  </si>
  <si>
    <t>58,90</t>
  </si>
  <si>
    <t>72,5</t>
  </si>
  <si>
    <t>55,0</t>
  </si>
  <si>
    <t>90,0</t>
  </si>
  <si>
    <t>Воложанин Максим</t>
  </si>
  <si>
    <t>1. Воложанин Максим</t>
  </si>
  <si>
    <t>Юниоры 20 - 23 (12.03.1996)/23</t>
  </si>
  <si>
    <t>66,60</t>
  </si>
  <si>
    <t>87,5</t>
  </si>
  <si>
    <t>135,0</t>
  </si>
  <si>
    <t>150,0</t>
  </si>
  <si>
    <t>160,0</t>
  </si>
  <si>
    <t>ВЕСОВАЯ КАТЕГОРИЯ   75</t>
  </si>
  <si>
    <t>Веретенов Данил</t>
  </si>
  <si>
    <t>1. Веретенов Данил</t>
  </si>
  <si>
    <t>Юноши 16 - 17 (25.08.2002)/16</t>
  </si>
  <si>
    <t>72,00</t>
  </si>
  <si>
    <t>92,5</t>
  </si>
  <si>
    <t>95,0</t>
  </si>
  <si>
    <t>-. Гольцов Михаил</t>
  </si>
  <si>
    <t>Юноши 16 - 17 (16.07.2002)/16</t>
  </si>
  <si>
    <t>68,70</t>
  </si>
  <si>
    <t>Балданов Вячеслав</t>
  </si>
  <si>
    <t>1. Балданов Вячеслав</t>
  </si>
  <si>
    <t>Открытая (11.05.1990)/29</t>
  </si>
  <si>
    <t>72,50</t>
  </si>
  <si>
    <t xml:space="preserve">Томск/Томская область </t>
  </si>
  <si>
    <t>145,0</t>
  </si>
  <si>
    <t>105,0</t>
  </si>
  <si>
    <t>137,5</t>
  </si>
  <si>
    <t>155,0</t>
  </si>
  <si>
    <t>ВЕСОВАЯ КАТЕГОРИЯ   82.5</t>
  </si>
  <si>
    <t>-. Петров Вячеслав</t>
  </si>
  <si>
    <t>Юниоры 20 - 23 (28.04.1996)/23</t>
  </si>
  <si>
    <t>82,20</t>
  </si>
  <si>
    <t>140,0</t>
  </si>
  <si>
    <t>Сулимов Андрей</t>
  </si>
  <si>
    <t>1. Сулимов Андрей</t>
  </si>
  <si>
    <t>Открытая (04.12.1992)/26</t>
  </si>
  <si>
    <t>80,50</t>
  </si>
  <si>
    <t xml:space="preserve">Осинники/Кемеровская область </t>
  </si>
  <si>
    <t>170,0</t>
  </si>
  <si>
    <t>180,0</t>
  </si>
  <si>
    <t>185,0</t>
  </si>
  <si>
    <t>ВЕСОВАЯ КАТЕГОРИЯ   90</t>
  </si>
  <si>
    <t>Фишер Евгений</t>
  </si>
  <si>
    <t>1. Фишер Евгений</t>
  </si>
  <si>
    <t>Юноши 14-15 (04.03.2004)/15</t>
  </si>
  <si>
    <t>86,40</t>
  </si>
  <si>
    <t>85,0</t>
  </si>
  <si>
    <t>130,0</t>
  </si>
  <si>
    <t>Глебов Андрей</t>
  </si>
  <si>
    <t>1. Глебов Андрей</t>
  </si>
  <si>
    <t>Юноши 16 - 17 (13.08.2002)/16</t>
  </si>
  <si>
    <t>84,50</t>
  </si>
  <si>
    <t xml:space="preserve">Веселые ребята </t>
  </si>
  <si>
    <t xml:space="preserve">Анжеро-Судженск/Кемеровская область </t>
  </si>
  <si>
    <t>190,0</t>
  </si>
  <si>
    <t>210,0</t>
  </si>
  <si>
    <t>215,0</t>
  </si>
  <si>
    <t xml:space="preserve">Богатчук П </t>
  </si>
  <si>
    <t>ВЕСОВАЯ КАТЕГОРИЯ   100</t>
  </si>
  <si>
    <t>Журжий Даниил</t>
  </si>
  <si>
    <t>1. Журжий Даниил</t>
  </si>
  <si>
    <t>Юноши 18 - 19 (28.12.1999)/19</t>
  </si>
  <si>
    <t>99,50</t>
  </si>
  <si>
    <t>165,0</t>
  </si>
  <si>
    <t>220,0</t>
  </si>
  <si>
    <t>225,0</t>
  </si>
  <si>
    <t xml:space="preserve">Зевякин И </t>
  </si>
  <si>
    <t>Гирштейн Артем</t>
  </si>
  <si>
    <t>1. Гирштейн Артем</t>
  </si>
  <si>
    <t>Открытая (24.04.1988)/31</t>
  </si>
  <si>
    <t>97,60</t>
  </si>
  <si>
    <t>157,5</t>
  </si>
  <si>
    <t>195,0</t>
  </si>
  <si>
    <t>Руднев Сергей</t>
  </si>
  <si>
    <t>-. Руднев Сергей</t>
  </si>
  <si>
    <t>Открытая (24.08.1992)/26</t>
  </si>
  <si>
    <t>240,0</t>
  </si>
  <si>
    <t>Манаков Денис</t>
  </si>
  <si>
    <t>1. Манаков Денис</t>
  </si>
  <si>
    <t>Мастера 40 - 44 (04.12.1978)/40</t>
  </si>
  <si>
    <t>98,20</t>
  </si>
  <si>
    <t xml:space="preserve">Успех </t>
  </si>
  <si>
    <t xml:space="preserve">Белово/Кемеровская область </t>
  </si>
  <si>
    <t>200,0</t>
  </si>
  <si>
    <t xml:space="preserve">Ганьшин Е </t>
  </si>
  <si>
    <t>ВЕСОВАЯ КАТЕГОРИЯ   110</t>
  </si>
  <si>
    <t>Бачин Артем</t>
  </si>
  <si>
    <t>1. Бачин Артем</t>
  </si>
  <si>
    <t>Открытая (19.10.1983)/35</t>
  </si>
  <si>
    <t>110,00</t>
  </si>
  <si>
    <t>235,0</t>
  </si>
  <si>
    <t>245,0</t>
  </si>
  <si>
    <t>227,5</t>
  </si>
  <si>
    <t>Портнов Юрий</t>
  </si>
  <si>
    <t>2. Портнов Юрий</t>
  </si>
  <si>
    <t>Открытая (22.12.1983)/35</t>
  </si>
  <si>
    <t>107,00</t>
  </si>
  <si>
    <t xml:space="preserve">Железное Братство Спарта </t>
  </si>
  <si>
    <t xml:space="preserve">Ефременко В.Н,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</si>
  <si>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</si>
  <si>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</si>
  <si>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</si>
  <si>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</si>
  <si>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</si>
  <si>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</si>
  <si>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</si>
  <si>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</si>
  <si>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67.5</t>
  </si>
  <si>
    <t>310,0</t>
  </si>
  <si>
    <t>255,8973</t>
  </si>
  <si>
    <t xml:space="preserve">Открытая </t>
  </si>
  <si>
    <t>52</t>
  </si>
  <si>
    <t>236,7360</t>
  </si>
  <si>
    <t>48</t>
  </si>
  <si>
    <t>206,8900</t>
  </si>
  <si>
    <t xml:space="preserve">Мужчины </t>
  </si>
  <si>
    <t xml:space="preserve">Юноши </t>
  </si>
  <si>
    <t>100</t>
  </si>
  <si>
    <t>550,0</t>
  </si>
  <si>
    <t>317,6316</t>
  </si>
  <si>
    <t xml:space="preserve">Юноши 16 - 17 </t>
  </si>
  <si>
    <t>90</t>
  </si>
  <si>
    <t>445,0</t>
  </si>
  <si>
    <t>306,3865</t>
  </si>
  <si>
    <t xml:space="preserve">Юноши 0-13 </t>
  </si>
  <si>
    <t>175,0</t>
  </si>
  <si>
    <t>255,9968</t>
  </si>
  <si>
    <t>75</t>
  </si>
  <si>
    <t>240,5510</t>
  </si>
  <si>
    <t xml:space="preserve">Юноши 14-15 </t>
  </si>
  <si>
    <t>60</t>
  </si>
  <si>
    <t>232,5</t>
  </si>
  <si>
    <t>227,3264</t>
  </si>
  <si>
    <t>315,0</t>
  </si>
  <si>
    <t>223,1687</t>
  </si>
  <si>
    <t>187,5</t>
  </si>
  <si>
    <t>221,9304</t>
  </si>
  <si>
    <t xml:space="preserve">Юниоры </t>
  </si>
  <si>
    <t xml:space="preserve">Юниоры 20 - 23 </t>
  </si>
  <si>
    <t>367,5</t>
  </si>
  <si>
    <t>270,0023</t>
  </si>
  <si>
    <t>110</t>
  </si>
  <si>
    <t>605,0</t>
  </si>
  <si>
    <t>324,5825</t>
  </si>
  <si>
    <t>575,0</t>
  </si>
  <si>
    <t>310,7875</t>
  </si>
  <si>
    <t>82.5</t>
  </si>
  <si>
    <t>470,0</t>
  </si>
  <si>
    <t>296,1470</t>
  </si>
  <si>
    <t>395,0</t>
  </si>
  <si>
    <t>269,7060</t>
  </si>
  <si>
    <t>477,5</t>
  </si>
  <si>
    <t>267,4955</t>
  </si>
  <si>
    <t xml:space="preserve">Мастера </t>
  </si>
  <si>
    <t xml:space="preserve">Мастера 40 - 44 </t>
  </si>
  <si>
    <t>565,0</t>
  </si>
  <si>
    <t>315,6090</t>
  </si>
  <si>
    <t>Областной турнир по силовым видам спорта
ПРО пауэрлифтинг без экипировки
Кемерово/Кемеровская область июня 2019 г.</t>
  </si>
  <si>
    <t>ВЕСОВАЯ КАТЕГОРИЯ   140</t>
  </si>
  <si>
    <t>Положенцев Дмитрий</t>
  </si>
  <si>
    <t>1. Положенцев Дмитрий</t>
  </si>
  <si>
    <t>Мастера 40 - 44 (12.11.1978)/40</t>
  </si>
  <si>
    <t>131,30</t>
  </si>
  <si>
    <t>230,0</t>
  </si>
  <si>
    <t>140</t>
  </si>
  <si>
    <t>590,0</t>
  </si>
  <si>
    <t>302,9296</t>
  </si>
  <si>
    <t>Областной турнир по силовым видам спорта
Любители пауэрлифтинг в софт экипировке
Кемерово/Кемеровская область июня 2019 г.</t>
  </si>
  <si>
    <t>Науменко Дина</t>
  </si>
  <si>
    <t>1. Науменко Дина</t>
  </si>
  <si>
    <t>Мастера 40 - 44 (08.01.1979)/40</t>
  </si>
  <si>
    <t>71,50</t>
  </si>
  <si>
    <t>Исаев Алексей</t>
  </si>
  <si>
    <t>1. Исаев Алексей</t>
  </si>
  <si>
    <t>Открытая (19.06.1991)/27</t>
  </si>
  <si>
    <t>73,90</t>
  </si>
  <si>
    <t>97,5</t>
  </si>
  <si>
    <t>Локк Семен</t>
  </si>
  <si>
    <t>1. Локк Семен</t>
  </si>
  <si>
    <t>Открытая (28.11.1982)/36</t>
  </si>
  <si>
    <t>82,00</t>
  </si>
  <si>
    <t>152,5</t>
  </si>
  <si>
    <t>Евсюков Сергей</t>
  </si>
  <si>
    <t>1. Евсюков Сергей</t>
  </si>
  <si>
    <t>Открытая (14.07.1988)/30</t>
  </si>
  <si>
    <t>99,80</t>
  </si>
  <si>
    <t>142,5</t>
  </si>
  <si>
    <t>295,0</t>
  </si>
  <si>
    <t>220,4093</t>
  </si>
  <si>
    <t>520,0</t>
  </si>
  <si>
    <t>288,3400</t>
  </si>
  <si>
    <t>462,5</t>
  </si>
  <si>
    <t>287,6288</t>
  </si>
  <si>
    <t>355,0</t>
  </si>
  <si>
    <t>238,6665</t>
  </si>
  <si>
    <t>Областной турнир по силовым видам спорта
ПРО пауэрлифтинг в софт экипировке
Кемерово/Кемеровская область июня 2019 г.</t>
  </si>
  <si>
    <t>Черданцев Антон</t>
  </si>
  <si>
    <t>1. Черданцев Антон</t>
  </si>
  <si>
    <t>Открытая (28.12.1982)/36</t>
  </si>
  <si>
    <t>96,80</t>
  </si>
  <si>
    <t xml:space="preserve">Междуреченск/Кемеровская область </t>
  </si>
  <si>
    <t>242,5</t>
  </si>
  <si>
    <t>620,0</t>
  </si>
  <si>
    <t>348,6880</t>
  </si>
  <si>
    <t>Результат</t>
  </si>
  <si>
    <t>Областной турнир по силовым видам спорта
Любители жим лежа без экипировки
Кемерово/Кемеровская область июня 2019 г.</t>
  </si>
  <si>
    <t>Соколова Оксана</t>
  </si>
  <si>
    <t>1. Соколова Оксана</t>
  </si>
  <si>
    <t>Открытая (21.06.1985)/33</t>
  </si>
  <si>
    <t>59,80</t>
  </si>
  <si>
    <t xml:space="preserve">Кочубей Р </t>
  </si>
  <si>
    <t>Трубченко Тимофей</t>
  </si>
  <si>
    <t>1. Трубченко Тимофей</t>
  </si>
  <si>
    <t>Юноши 0-13 (30.03.2008)/11</t>
  </si>
  <si>
    <t xml:space="preserve">Железное Братство </t>
  </si>
  <si>
    <t>35,0</t>
  </si>
  <si>
    <t>Серёдкин Максим</t>
  </si>
  <si>
    <t>1. Серёдкин Максим</t>
  </si>
  <si>
    <t>Юноши 14-15 (17.06.2004)/14</t>
  </si>
  <si>
    <t>51,00</t>
  </si>
  <si>
    <t>Бельвенцев Андрей</t>
  </si>
  <si>
    <t>1. Бельвенцев Андрей</t>
  </si>
  <si>
    <t>Юноши 14-15 (15.04.2004)/15</t>
  </si>
  <si>
    <t>59,00</t>
  </si>
  <si>
    <t xml:space="preserve">Ефременко В </t>
  </si>
  <si>
    <t>Устинов Станислав</t>
  </si>
  <si>
    <t>1. Устинов Станислав</t>
  </si>
  <si>
    <t>Юниоры 20 - 23 (26.07.1996)/22</t>
  </si>
  <si>
    <t>60,00</t>
  </si>
  <si>
    <t>Тусалимов Андрей</t>
  </si>
  <si>
    <t>1. Тусалимов Андрей</t>
  </si>
  <si>
    <t>Открытая (10.05.1992)/27</t>
  </si>
  <si>
    <t>57,00</t>
  </si>
  <si>
    <t>Масленников Евгений</t>
  </si>
  <si>
    <t>1. Масленников Евгений</t>
  </si>
  <si>
    <t>Юноши 0-13 (17.06.2005)/13</t>
  </si>
  <si>
    <t>61,80</t>
  </si>
  <si>
    <t xml:space="preserve">Зубан Я. </t>
  </si>
  <si>
    <t>Сиков Роман</t>
  </si>
  <si>
    <t>1. Сиков Роман</t>
  </si>
  <si>
    <t>Юноши 14-15 (04.10.2004)/14</t>
  </si>
  <si>
    <t>65,40</t>
  </si>
  <si>
    <t>Соболев Андрей</t>
  </si>
  <si>
    <t>1. Соболев Андрей</t>
  </si>
  <si>
    <t>Открытая (26.08.1987)/31</t>
  </si>
  <si>
    <t>73,00</t>
  </si>
  <si>
    <t xml:space="preserve">Руднев С. </t>
  </si>
  <si>
    <t>Бородин Алексей</t>
  </si>
  <si>
    <t>1. Бородин Алексей</t>
  </si>
  <si>
    <t>Открытая (10.09.1992)/26</t>
  </si>
  <si>
    <t>81,20</t>
  </si>
  <si>
    <t>Кирпичев Даниил</t>
  </si>
  <si>
    <t>1. Кирпичев Даниил</t>
  </si>
  <si>
    <t>Юноши 14-15 (12.02.2004)/15</t>
  </si>
  <si>
    <t>82,80</t>
  </si>
  <si>
    <t>Туманов Никита</t>
  </si>
  <si>
    <t>1. Туманов Никита</t>
  </si>
  <si>
    <t>Открытая (10.07.1984)/34</t>
  </si>
  <si>
    <t>88,70</t>
  </si>
  <si>
    <t xml:space="preserve">Ленинск-Кузнецкий/Кемеровская область </t>
  </si>
  <si>
    <t>Солошенков Александр</t>
  </si>
  <si>
    <t>2. Солошенков Александр</t>
  </si>
  <si>
    <t>Открытая (07.07.1986)/32</t>
  </si>
  <si>
    <t>89,20</t>
  </si>
  <si>
    <t>Губарев Игнат</t>
  </si>
  <si>
    <t>3. Губарев Игнат</t>
  </si>
  <si>
    <t>Открытая (20.02.1992)/27</t>
  </si>
  <si>
    <t>Натаров Дмитрий</t>
  </si>
  <si>
    <t>1. Натаров Дмитрий</t>
  </si>
  <si>
    <t>Открытая (22.05.1992)/27</t>
  </si>
  <si>
    <t>99,30</t>
  </si>
  <si>
    <t xml:space="preserve">Квитко Д.Ю. </t>
  </si>
  <si>
    <t>2. Руднев Сергей</t>
  </si>
  <si>
    <t>Черныш Михаил</t>
  </si>
  <si>
    <t>3. Черныш Михаил</t>
  </si>
  <si>
    <t>Открытая (20.01.1987)/32</t>
  </si>
  <si>
    <t>98,00</t>
  </si>
  <si>
    <t>34,5360</t>
  </si>
  <si>
    <t>66,6226</t>
  </si>
  <si>
    <t>65,8785</t>
  </si>
  <si>
    <t>63,0726</t>
  </si>
  <si>
    <t>56,4887</t>
  </si>
  <si>
    <t>48,2883</t>
  </si>
  <si>
    <t>47,8913</t>
  </si>
  <si>
    <t>69,7789</t>
  </si>
  <si>
    <t>100,0440</t>
  </si>
  <si>
    <t>98,6700</t>
  </si>
  <si>
    <t>91,6245</t>
  </si>
  <si>
    <t>85,6225</t>
  </si>
  <si>
    <t>82,3900</t>
  </si>
  <si>
    <t>81,4680</t>
  </si>
  <si>
    <t>81,4060</t>
  </si>
  <si>
    <t>79,6717</t>
  </si>
  <si>
    <t>Областной турнир по силовым видам спорта
ПРО жим лежа без экипировки
Кемерово/Кемеровская область июня 2019 г.</t>
  </si>
  <si>
    <t>Симоненко Егор</t>
  </si>
  <si>
    <t>1. Симоненко Егор</t>
  </si>
  <si>
    <t>Открытая (03.02.1990)/29</t>
  </si>
  <si>
    <t>90,00</t>
  </si>
  <si>
    <t>Бирюлин Александр</t>
  </si>
  <si>
    <t>2. Бирюлин Александр</t>
  </si>
  <si>
    <t>Открытая (10.11.1993)/25</t>
  </si>
  <si>
    <t>Ефременко Виталий</t>
  </si>
  <si>
    <t>1. Ефременко Виталий</t>
  </si>
  <si>
    <t>Открытая (12.02.1985)/34</t>
  </si>
  <si>
    <t>99,00</t>
  </si>
  <si>
    <t>Матюнин Анатолий</t>
  </si>
  <si>
    <t>2. Матюнин Анатолий</t>
  </si>
  <si>
    <t>Открытая (23.07.1986)/32</t>
  </si>
  <si>
    <t>100,00</t>
  </si>
  <si>
    <t>Богатчук Павел</t>
  </si>
  <si>
    <t>1. Богатчук Павел</t>
  </si>
  <si>
    <t>Открытая (09.05.1983)/36</t>
  </si>
  <si>
    <t>205,0</t>
  </si>
  <si>
    <t>Присяжнюк Виктор</t>
  </si>
  <si>
    <t>2. Присяжнюк Виктор</t>
  </si>
  <si>
    <t>Открытая (15.02.1976)/43</t>
  </si>
  <si>
    <t>109,80</t>
  </si>
  <si>
    <t>0,0</t>
  </si>
  <si>
    <t>182,5</t>
  </si>
  <si>
    <t>ВЕСОВАЯ КАТЕГОРИЯ   125</t>
  </si>
  <si>
    <t>Ушаков Александр</t>
  </si>
  <si>
    <t>1. Ушаков Александр</t>
  </si>
  <si>
    <t>Открытая (16.08.1988)/30</t>
  </si>
  <si>
    <t>114,00</t>
  </si>
  <si>
    <t>Клименок Олег</t>
  </si>
  <si>
    <t>Открытая (25.09.1987)/31</t>
  </si>
  <si>
    <t>119,00</t>
  </si>
  <si>
    <t>ВЕСОВАЯ КАТЕГОРИЯ   140+</t>
  </si>
  <si>
    <t>Скударнов Александр</t>
  </si>
  <si>
    <t>1. Скударнов Александр</t>
  </si>
  <si>
    <t>Открытая (05.05.1986)/33</t>
  </si>
  <si>
    <t>144,00</t>
  </si>
  <si>
    <t xml:space="preserve">Ельшин К. </t>
  </si>
  <si>
    <t>111,3000</t>
  </si>
  <si>
    <t>104,6175</t>
  </si>
  <si>
    <t>140+</t>
  </si>
  <si>
    <t>99,8200</t>
  </si>
  <si>
    <t>125</t>
  </si>
  <si>
    <t>93,1525</t>
  </si>
  <si>
    <t>91,2390</t>
  </si>
  <si>
    <t>84,4850</t>
  </si>
  <si>
    <t>79,0155</t>
  </si>
  <si>
    <t>71,2665</t>
  </si>
  <si>
    <t>Областной турнир по силовым видам спорта
Любители становая тяга без экипировки
Кемерово/Кемеровская область июня 2019 г.</t>
  </si>
  <si>
    <t>Белова Вера</t>
  </si>
  <si>
    <t>1. Белова Вера</t>
  </si>
  <si>
    <t>Открытая (26.07.1990)/28</t>
  </si>
  <si>
    <t>46,50</t>
  </si>
  <si>
    <t>Бойченко Наталья</t>
  </si>
  <si>
    <t>2. Бойченко Наталья</t>
  </si>
  <si>
    <t>Открытая (01.04.1985)/34</t>
  </si>
  <si>
    <t>47,50</t>
  </si>
  <si>
    <t xml:space="preserve">Сергиенко Д </t>
  </si>
  <si>
    <t>ВЕСОВАЯ КАТЕГОРИЯ   56</t>
  </si>
  <si>
    <t>Герасименко Алена</t>
  </si>
  <si>
    <t>1. Герасименко Алена</t>
  </si>
  <si>
    <t>Открытая (01.08.1986)/32</t>
  </si>
  <si>
    <t>55,70</t>
  </si>
  <si>
    <t>Пугосей Наталья</t>
  </si>
  <si>
    <t>1. Пугосей Наталья</t>
  </si>
  <si>
    <t>Открытая (03.12.1986)/32</t>
  </si>
  <si>
    <t>64,60</t>
  </si>
  <si>
    <t>Радченко Ольга</t>
  </si>
  <si>
    <t>1. Радченко Ольга</t>
  </si>
  <si>
    <t>Мастера 40 - 44 (31.07.1978)/40</t>
  </si>
  <si>
    <t>65,00</t>
  </si>
  <si>
    <t>ВЕСОВАЯ КАТЕГОРИЯ   90+</t>
  </si>
  <si>
    <t>Кальмаева Кристина</t>
  </si>
  <si>
    <t>1. Кальмаева Кристина</t>
  </si>
  <si>
    <t>Юниорки 20 - 23 (03.11.1995)/23</t>
  </si>
  <si>
    <t>116,30</t>
  </si>
  <si>
    <t>Струнин Леонид</t>
  </si>
  <si>
    <t>1. Струнин Леонид</t>
  </si>
  <si>
    <t>Юноши 16 - 17 (25.10.2001)/17</t>
  </si>
  <si>
    <t xml:space="preserve">Василенко С. </t>
  </si>
  <si>
    <t>Шелепов Иван</t>
  </si>
  <si>
    <t>1. Шелепов Иван</t>
  </si>
  <si>
    <t>Юниоры 20 - 23 (24.09.1995)/23</t>
  </si>
  <si>
    <t>74,30</t>
  </si>
  <si>
    <t>192,5</t>
  </si>
  <si>
    <t>Соколов Сергей</t>
  </si>
  <si>
    <t>1. Соколов Сергей</t>
  </si>
  <si>
    <t>Открытая (02.03.1987)/32</t>
  </si>
  <si>
    <t>81,80</t>
  </si>
  <si>
    <t xml:space="preserve">Прокопьевск/Кемеровская область </t>
  </si>
  <si>
    <t>Гайдай Александр</t>
  </si>
  <si>
    <t>2. Гайдай Александр</t>
  </si>
  <si>
    <t>Открытая (18.06.1990)/28</t>
  </si>
  <si>
    <t>79,70</t>
  </si>
  <si>
    <t>Михайлов Владимир</t>
  </si>
  <si>
    <t>1. Михайлов Владимир</t>
  </si>
  <si>
    <t>Юноши 18 - 19 (09.03.2000)/19</t>
  </si>
  <si>
    <t>87,00</t>
  </si>
  <si>
    <t xml:space="preserve">Колесников С. </t>
  </si>
  <si>
    <t>Формулевич Иван</t>
  </si>
  <si>
    <t>1. Формулевич Иван</t>
  </si>
  <si>
    <t>Открытая (04.12.1988)/30</t>
  </si>
  <si>
    <t>87,60</t>
  </si>
  <si>
    <t xml:space="preserve">Берёзовский/Кемеровская область </t>
  </si>
  <si>
    <t>1. Руднев Сергей</t>
  </si>
  <si>
    <t>255,0</t>
  </si>
  <si>
    <t>262,5</t>
  </si>
  <si>
    <t>Соболев Евгений</t>
  </si>
  <si>
    <t>2. Соболев Евгений</t>
  </si>
  <si>
    <t>Открытая (24.06.1983)/35</t>
  </si>
  <si>
    <t>252,5</t>
  </si>
  <si>
    <t>260,0</t>
  </si>
  <si>
    <t>-. Журжий Даниил</t>
  </si>
  <si>
    <t>Открытая (28.12.1999)/19</t>
  </si>
  <si>
    <t>97,00</t>
  </si>
  <si>
    <t>Лановикин Андрей</t>
  </si>
  <si>
    <t>1. Лановикин Андрей</t>
  </si>
  <si>
    <t>Юноши 18 - 19 (29.08.1999)/19</t>
  </si>
  <si>
    <t>127,00</t>
  </si>
  <si>
    <t>250,0</t>
  </si>
  <si>
    <t xml:space="preserve">Юниорки </t>
  </si>
  <si>
    <t>90+</t>
  </si>
  <si>
    <t>67,3260</t>
  </si>
  <si>
    <t>110,9700</t>
  </si>
  <si>
    <t>56</t>
  </si>
  <si>
    <t>105,3400</t>
  </si>
  <si>
    <t>105,1635</t>
  </si>
  <si>
    <t>100,8092</t>
  </si>
  <si>
    <t>99,1040</t>
  </si>
  <si>
    <t>104,6110</t>
  </si>
  <si>
    <t>134,8360</t>
  </si>
  <si>
    <t>109,5541</t>
  </si>
  <si>
    <t>99,4739</t>
  </si>
  <si>
    <t>128,8595</t>
  </si>
  <si>
    <t>141,6015</t>
  </si>
  <si>
    <t>141,1727</t>
  </si>
  <si>
    <t>124,9920</t>
  </si>
  <si>
    <t>116,8125</t>
  </si>
  <si>
    <t>107,8990</t>
  </si>
  <si>
    <t>120,0990</t>
  </si>
  <si>
    <t>Областной турнир по силовым видам спорта
ПРО становая тяга без экипировки
Кемерово/Кемеровская область июня 2019 г.</t>
  </si>
  <si>
    <t>Елагин Сергей</t>
  </si>
  <si>
    <t>1. Елагин Сергей</t>
  </si>
  <si>
    <t>Открытая (18.07.1974)/44</t>
  </si>
  <si>
    <t>88,60</t>
  </si>
  <si>
    <t>131,20</t>
  </si>
  <si>
    <t>270,0</t>
  </si>
  <si>
    <t>135,9300</t>
  </si>
  <si>
    <t>138,6612</t>
  </si>
  <si>
    <t>Областной турнир по силовым видам спорта
Любители присед без экипировки
Кемерово/Кемеровская область июня 2019 г.</t>
  </si>
  <si>
    <t>Сорокин Роман</t>
  </si>
  <si>
    <t>1. Сорокин Роман</t>
  </si>
  <si>
    <t>Открытая (13.10.1991)/27</t>
  </si>
  <si>
    <t>99,60</t>
  </si>
  <si>
    <t>122,1000</t>
  </si>
  <si>
    <t>Областной турнир по силовым видам спорта
Силовое двоеборье любители
Кемерово/Кемеровская область июня 2019 г.</t>
  </si>
  <si>
    <t>Черныш Вита</t>
  </si>
  <si>
    <t>1. Черныш Вита</t>
  </si>
  <si>
    <t>Открытая (29.06.1987)/31</t>
  </si>
  <si>
    <t>49,50</t>
  </si>
  <si>
    <t>47,5</t>
  </si>
  <si>
    <t>Лоретус Татьяна</t>
  </si>
  <si>
    <t>-. Лоретус Татьяна</t>
  </si>
  <si>
    <t>Девушки 18 - 19 (09.03.2000)/19</t>
  </si>
  <si>
    <t>54,50</t>
  </si>
  <si>
    <t>Тарханова Татьяна</t>
  </si>
  <si>
    <t>1. Тарханова Татьяна</t>
  </si>
  <si>
    <t>Открытая (30.05.1986)/33</t>
  </si>
  <si>
    <t>58,20</t>
  </si>
  <si>
    <t>62,5</t>
  </si>
  <si>
    <t>102,5</t>
  </si>
  <si>
    <t>Дудинов Сергей</t>
  </si>
  <si>
    <t>1. Дудинов Сергей</t>
  </si>
  <si>
    <t>Открытая (07.04.1988)/31</t>
  </si>
  <si>
    <t>69,10</t>
  </si>
  <si>
    <t>107,5</t>
  </si>
  <si>
    <t>172,5</t>
  </si>
  <si>
    <t>177,5</t>
  </si>
  <si>
    <t>2. Соколов Сергей</t>
  </si>
  <si>
    <t>3. Гайдай Александр</t>
  </si>
  <si>
    <t>Хоронжак Иван</t>
  </si>
  <si>
    <t>1. Хоронжак Иван</t>
  </si>
  <si>
    <t>Открытая (25.04.1982)/37</t>
  </si>
  <si>
    <t>95,10</t>
  </si>
  <si>
    <t>Горбунов Евгений</t>
  </si>
  <si>
    <t>1. Горбунов Евгений</t>
  </si>
  <si>
    <t>Мастера 40 - 44 (08.09.1978)/40</t>
  </si>
  <si>
    <t>167,5</t>
  </si>
  <si>
    <t>152,3434</t>
  </si>
  <si>
    <t>131,1700</t>
  </si>
  <si>
    <t>297,5</t>
  </si>
  <si>
    <t>199,1465</t>
  </si>
  <si>
    <t>385,0</t>
  </si>
  <si>
    <t>218,4875</t>
  </si>
  <si>
    <t>285,0</t>
  </si>
  <si>
    <t>202,6350</t>
  </si>
  <si>
    <t>195,3310</t>
  </si>
  <si>
    <t>183,7850</t>
  </si>
  <si>
    <t>275,0</t>
  </si>
  <si>
    <t>174,5425</t>
  </si>
  <si>
    <t>141,8812</t>
  </si>
  <si>
    <t>Областной турнир НЖ
Любители народный жим (1 вес)
Кемерово/Кемеровская область июня 2019 г.</t>
  </si>
  <si>
    <t>НАП Н.Ж.</t>
  </si>
  <si>
    <t>Сергеев Александр</t>
  </si>
  <si>
    <t>1. Сергеев Александр</t>
  </si>
  <si>
    <t>Открытая (09.04.1992)/27</t>
  </si>
  <si>
    <t>78,30</t>
  </si>
  <si>
    <t>21,0</t>
  </si>
  <si>
    <t>23,0</t>
  </si>
  <si>
    <t>25,0</t>
  </si>
  <si>
    <t>Липов Владимир</t>
  </si>
  <si>
    <t>2. Липов Владимир</t>
  </si>
  <si>
    <t>Открытая (19.09.1992)/26</t>
  </si>
  <si>
    <t>92,50</t>
  </si>
  <si>
    <t xml:space="preserve">НАП Н.Ж. </t>
  </si>
  <si>
    <t>2500,0</t>
  </si>
  <si>
    <t>1666,2499</t>
  </si>
  <si>
    <t>2070,0</t>
  </si>
  <si>
    <t>1499,0940</t>
  </si>
  <si>
    <t>1942,5</t>
  </si>
  <si>
    <t>1389,8587</t>
  </si>
  <si>
    <t>1680,0</t>
  </si>
  <si>
    <t>1338,7920</t>
  </si>
  <si>
    <t>Жим мн. повт.</t>
  </si>
  <si>
    <t>Вес</t>
  </si>
  <si>
    <t>Повторы</t>
  </si>
  <si>
    <t>Тоннаж</t>
  </si>
  <si>
    <t>Областной турнир НЖ
Любители народный жим (1/2 вес)
Кемерово/Кемеровская область июня 2019 г.</t>
  </si>
  <si>
    <t>1. Лоретус Татьяна</t>
  </si>
  <si>
    <t>27,5</t>
  </si>
  <si>
    <t>Бакланова Анастасия</t>
  </si>
  <si>
    <t>1. Бакланова Анастасия</t>
  </si>
  <si>
    <t>Девушки 16 - 17 (19.07.2002)/16</t>
  </si>
  <si>
    <t>32,5</t>
  </si>
  <si>
    <t>41,0</t>
  </si>
  <si>
    <t>1375,0</t>
  </si>
  <si>
    <t>1295,1125</t>
  </si>
  <si>
    <t>1332,5</t>
  </si>
  <si>
    <t>1183,9262</t>
  </si>
  <si>
    <t>Областной турнир РЖ
Русский жим профессионалы 55 кг.
Кемерово/Кемеровская область июня 2019 г.</t>
  </si>
  <si>
    <t>Атлетизм</t>
  </si>
  <si>
    <t>ВЕСОВАЯ КАТЕГОРИЯ   All</t>
  </si>
  <si>
    <t>Князев Алексей</t>
  </si>
  <si>
    <t>1. Князев Алексей</t>
  </si>
  <si>
    <t>Открытая (12.04.1987)/32</t>
  </si>
  <si>
    <t>79,90</t>
  </si>
  <si>
    <t>73,0</t>
  </si>
  <si>
    <t xml:space="preserve">Атлетизм </t>
  </si>
  <si>
    <t>All</t>
  </si>
  <si>
    <t>4015,0</t>
  </si>
  <si>
    <t>50,2503</t>
  </si>
  <si>
    <t>Областной турнир РЖ
Русский жим любители 35 кг.
Кемерово/Кемеровская область июня 2019 г.</t>
  </si>
  <si>
    <t>18,0</t>
  </si>
  <si>
    <t>630,0</t>
  </si>
  <si>
    <t>11,3105</t>
  </si>
  <si>
    <t>Областной турнир РЖ
Русский жим любители 55 кг.
Кемерово/Кемеровская область июня 2019 г.</t>
  </si>
  <si>
    <t>Малахов Владимир</t>
  </si>
  <si>
    <t>1. Малахов Владимир</t>
  </si>
  <si>
    <t>Открытая (28.09.1988)/30</t>
  </si>
  <si>
    <t>80,10</t>
  </si>
  <si>
    <t>48,0</t>
  </si>
  <si>
    <t>Герасименко Вадим</t>
  </si>
  <si>
    <t>2. Герасименко Вадим</t>
  </si>
  <si>
    <t>Открытая (16.03.1990)/29</t>
  </si>
  <si>
    <t>78,40</t>
  </si>
  <si>
    <t>Максимов Константин</t>
  </si>
  <si>
    <t>3. Максимов Константин</t>
  </si>
  <si>
    <t>Открытая (17.06.1982)/36</t>
  </si>
  <si>
    <t>30,0</t>
  </si>
  <si>
    <t>2640,0</t>
  </si>
  <si>
    <t>32,9588</t>
  </si>
  <si>
    <t>1925,0</t>
  </si>
  <si>
    <t>24,5535</t>
  </si>
  <si>
    <t>1650,0</t>
  </si>
  <si>
    <t>24,4444</t>
  </si>
  <si>
    <t>Областной турнир пауэрспорт
Одиночный подъём штанги на бицепс Любители
Кемерово/Кемеровская область июня 2019 г.</t>
  </si>
  <si>
    <t>Подъем на бицепс</t>
  </si>
  <si>
    <t xml:space="preserve">Колесников Сергей </t>
  </si>
  <si>
    <t>32,6399</t>
  </si>
  <si>
    <t>40,9680</t>
  </si>
  <si>
    <t>Областной турнир пауэрспорт
Одиночный подъём штанги на бицепс Профессионалы
Кемерово/Кемеровская область июня 2019 г.</t>
  </si>
  <si>
    <t>Мочалов Илья</t>
  </si>
  <si>
    <t>1. Мочалов Илья</t>
  </si>
  <si>
    <t>Открытая (11.06.1991)/27</t>
  </si>
  <si>
    <t>81,30</t>
  </si>
  <si>
    <t>40,6705</t>
  </si>
  <si>
    <t>Областной турнир пауэрспорт
Пауэрспорт Любители
Кемерово/Кемеровская область июня 2019 г.</t>
  </si>
  <si>
    <t>Жим стоя</t>
  </si>
  <si>
    <t>Смаль Андрей</t>
  </si>
  <si>
    <t>1. Смаль Андрей</t>
  </si>
  <si>
    <t>Юноши 16 - 17 (04.11.2001)/17</t>
  </si>
  <si>
    <t>73,70</t>
  </si>
  <si>
    <t>85,4925</t>
  </si>
  <si>
    <t>127,5</t>
  </si>
  <si>
    <t>87,0570</t>
  </si>
  <si>
    <t>1. Клименок Олег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</si>
</sst>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6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34" t="s">
        <v>9</v>
      </c>
      <c r="E3" s="48" t="s">
        <v>7</v>
      </c>
      <c r="F3" s="48" t="s">
        <v>12</v>
      </c>
      <c r="G3" s="48" t="s">
        <v>1</v>
      </c>
      <c r="H3" s="48"/>
      <c r="I3" s="48"/>
      <c r="J3" s="48"/>
      <c r="K3" s="48" t="s">
        <v>2</v>
      </c>
      <c r="L3" s="48"/>
      <c r="M3" s="48"/>
      <c r="N3" s="48"/>
      <c r="O3" s="48" t="s">
        <v>3</v>
      </c>
      <c r="P3" s="48"/>
      <c r="Q3" s="48"/>
      <c r="R3" s="48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35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5"/>
      <c r="T4" s="35"/>
      <c r="U4" s="37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53" t="s">
        <v>240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22</v>
      </c>
      <c r="L3" s="48"/>
      <c r="M3" s="48"/>
      <c r="N3" s="48"/>
      <c r="O3" s="48" t="s">
        <v>23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241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243</v>
      </c>
      <c r="B6" s="10" t="s">
        <v>244</v>
      </c>
      <c r="C6" s="10" t="s">
        <v>245</v>
      </c>
      <c r="D6" s="10" t="str">
        <f>"0,5134"</f>
        <v>0,5134</v>
      </c>
      <c r="E6" s="10" t="s">
        <v>29</v>
      </c>
      <c r="F6" s="10" t="s">
        <v>30</v>
      </c>
      <c r="G6" s="12" t="s">
        <v>122</v>
      </c>
      <c r="H6" s="11" t="s">
        <v>147</v>
      </c>
      <c r="I6" s="11" t="s">
        <v>147</v>
      </c>
      <c r="J6" s="11"/>
      <c r="K6" s="12" t="s">
        <v>91</v>
      </c>
      <c r="L6" s="12" t="s">
        <v>121</v>
      </c>
      <c r="M6" s="11" t="s">
        <v>122</v>
      </c>
      <c r="N6" s="11"/>
      <c r="O6" s="12" t="s">
        <v>166</v>
      </c>
      <c r="P6" s="11" t="s">
        <v>246</v>
      </c>
      <c r="Q6" s="12" t="s">
        <v>159</v>
      </c>
      <c r="R6" s="11"/>
      <c r="S6" s="10" t="str">
        <f>"590,0"</f>
        <v>590,0</v>
      </c>
      <c r="T6" s="12" t="str">
        <f>"302,9296"</f>
        <v>302,9296</v>
      </c>
      <c r="U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198</v>
      </c>
      <c r="B17" s="22"/>
    </row>
    <row r="18" spans="1:2" ht="14.25">
      <c r="A18" s="24"/>
      <c r="B18" s="25" t="s">
        <v>236</v>
      </c>
    </row>
    <row r="19" spans="1:5" ht="15">
      <c r="A19" s="26" t="s">
        <v>184</v>
      </c>
      <c r="B19" s="26" t="s">
        <v>185</v>
      </c>
      <c r="C19" s="26" t="s">
        <v>186</v>
      </c>
      <c r="D19" s="26" t="s">
        <v>187</v>
      </c>
      <c r="E19" s="26" t="s">
        <v>188</v>
      </c>
    </row>
    <row r="20" spans="1:5" ht="12.75">
      <c r="A20" s="23" t="s">
        <v>242</v>
      </c>
      <c r="B20" s="4" t="s">
        <v>237</v>
      </c>
      <c r="C20" s="4" t="s">
        <v>247</v>
      </c>
      <c r="D20" s="4" t="s">
        <v>248</v>
      </c>
      <c r="E20" s="27" t="s">
        <v>249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75390625" style="4" bestFit="1" customWidth="1"/>
    <col min="22" max="16384" width="9.125" style="3" customWidth="1"/>
  </cols>
  <sheetData>
    <row r="1" spans="1:21" s="2" customFormat="1" ht="28.5" customHeight="1">
      <c r="A1" s="53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22</v>
      </c>
      <c r="L3" s="48"/>
      <c r="M3" s="48"/>
      <c r="N3" s="48"/>
      <c r="O3" s="48" t="s">
        <v>23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26</v>
      </c>
      <c r="B6" s="10" t="s">
        <v>27</v>
      </c>
      <c r="C6" s="10" t="s">
        <v>28</v>
      </c>
      <c r="D6" s="10" t="str">
        <f>"1,0345"</f>
        <v>1,0345</v>
      </c>
      <c r="E6" s="10" t="s">
        <v>29</v>
      </c>
      <c r="F6" s="10" t="s">
        <v>30</v>
      </c>
      <c r="G6" s="11" t="s">
        <v>31</v>
      </c>
      <c r="H6" s="12" t="s">
        <v>32</v>
      </c>
      <c r="I6" s="11" t="s">
        <v>33</v>
      </c>
      <c r="J6" s="11"/>
      <c r="K6" s="12" t="s">
        <v>34</v>
      </c>
      <c r="L6" s="12" t="s">
        <v>35</v>
      </c>
      <c r="M6" s="11" t="s">
        <v>36</v>
      </c>
      <c r="N6" s="11"/>
      <c r="O6" s="12" t="s">
        <v>37</v>
      </c>
      <c r="P6" s="11" t="s">
        <v>38</v>
      </c>
      <c r="Q6" s="12" t="s">
        <v>38</v>
      </c>
      <c r="R6" s="11"/>
      <c r="S6" s="10" t="str">
        <f>"200,0"</f>
        <v>200,0</v>
      </c>
      <c r="T6" s="12" t="str">
        <f>"206,8900"</f>
        <v>206,8900</v>
      </c>
      <c r="U6" s="10" t="s">
        <v>39</v>
      </c>
    </row>
    <row r="8" spans="1:20" ht="15">
      <c r="A8" s="51" t="s">
        <v>40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 ht="12.75">
      <c r="A9" s="10" t="s">
        <v>42</v>
      </c>
      <c r="B9" s="10" t="s">
        <v>43</v>
      </c>
      <c r="C9" s="10" t="s">
        <v>44</v>
      </c>
      <c r="D9" s="10" t="str">
        <f>"0,9864"</f>
        <v>0,9864</v>
      </c>
      <c r="E9" s="10" t="s">
        <v>29</v>
      </c>
      <c r="F9" s="10" t="s">
        <v>45</v>
      </c>
      <c r="G9" s="12" t="s">
        <v>32</v>
      </c>
      <c r="H9" s="12" t="s">
        <v>37</v>
      </c>
      <c r="I9" s="11" t="s">
        <v>33</v>
      </c>
      <c r="J9" s="11"/>
      <c r="K9" s="12" t="s">
        <v>36</v>
      </c>
      <c r="L9" s="12" t="s">
        <v>46</v>
      </c>
      <c r="M9" s="11" t="s">
        <v>47</v>
      </c>
      <c r="N9" s="11"/>
      <c r="O9" s="12" t="s">
        <v>48</v>
      </c>
      <c r="P9" s="12" t="s">
        <v>49</v>
      </c>
      <c r="Q9" s="11"/>
      <c r="R9" s="11"/>
      <c r="S9" s="10" t="str">
        <f>"240,0"</f>
        <v>240,0</v>
      </c>
      <c r="T9" s="12" t="str">
        <f>"236,7360"</f>
        <v>236,7360</v>
      </c>
      <c r="U9" s="10" t="s">
        <v>50</v>
      </c>
    </row>
    <row r="11" spans="1:20" ht="15">
      <c r="A11" s="51" t="s">
        <v>51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 ht="12.75">
      <c r="A12" s="10" t="s">
        <v>53</v>
      </c>
      <c r="B12" s="10" t="s">
        <v>54</v>
      </c>
      <c r="C12" s="10" t="s">
        <v>55</v>
      </c>
      <c r="D12" s="10" t="str">
        <f>"0,7788"</f>
        <v>0,7788</v>
      </c>
      <c r="E12" s="10" t="s">
        <v>56</v>
      </c>
      <c r="F12" s="10" t="s">
        <v>45</v>
      </c>
      <c r="G12" s="12" t="s">
        <v>57</v>
      </c>
      <c r="H12" s="12" t="s">
        <v>58</v>
      </c>
      <c r="I12" s="12" t="s">
        <v>59</v>
      </c>
      <c r="J12" s="11"/>
      <c r="K12" s="12" t="s">
        <v>60</v>
      </c>
      <c r="L12" s="11" t="s">
        <v>61</v>
      </c>
      <c r="M12" s="11" t="s">
        <v>61</v>
      </c>
      <c r="N12" s="11"/>
      <c r="O12" s="12" t="s">
        <v>57</v>
      </c>
      <c r="P12" s="12" t="s">
        <v>62</v>
      </c>
      <c r="Q12" s="12" t="s">
        <v>63</v>
      </c>
      <c r="R12" s="11"/>
      <c r="S12" s="10" t="str">
        <f>"310,0"</f>
        <v>310,0</v>
      </c>
      <c r="T12" s="12" t="str">
        <f>"255,8973"</f>
        <v>255,8973</v>
      </c>
      <c r="U12" s="10" t="s">
        <v>64</v>
      </c>
    </row>
    <row r="14" spans="1:20" ht="15">
      <c r="A14" s="51" t="s">
        <v>40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1" ht="12.75">
      <c r="A15" s="13" t="s">
        <v>66</v>
      </c>
      <c r="B15" s="13" t="s">
        <v>67</v>
      </c>
      <c r="C15" s="13" t="s">
        <v>68</v>
      </c>
      <c r="D15" s="13" t="str">
        <f>"0,9623"</f>
        <v>0,9623</v>
      </c>
      <c r="E15" s="13" t="s">
        <v>56</v>
      </c>
      <c r="F15" s="13" t="s">
        <v>45</v>
      </c>
      <c r="G15" s="14" t="s">
        <v>47</v>
      </c>
      <c r="H15" s="14" t="s">
        <v>69</v>
      </c>
      <c r="I15" s="14" t="s">
        <v>70</v>
      </c>
      <c r="J15" s="15"/>
      <c r="K15" s="14" t="s">
        <v>35</v>
      </c>
      <c r="L15" s="14" t="s">
        <v>36</v>
      </c>
      <c r="M15" s="15" t="s">
        <v>46</v>
      </c>
      <c r="N15" s="15"/>
      <c r="O15" s="14" t="s">
        <v>61</v>
      </c>
      <c r="P15" s="14" t="s">
        <v>37</v>
      </c>
      <c r="Q15" s="14" t="s">
        <v>38</v>
      </c>
      <c r="R15" s="15"/>
      <c r="S15" s="13" t="str">
        <f>"187,5"</f>
        <v>187,5</v>
      </c>
      <c r="T15" s="14" t="str">
        <f>"221,9304"</f>
        <v>221,9304</v>
      </c>
      <c r="U15" s="13" t="s">
        <v>64</v>
      </c>
    </row>
    <row r="16" spans="1:21" ht="12.75">
      <c r="A16" s="16" t="s">
        <v>72</v>
      </c>
      <c r="B16" s="16" t="s">
        <v>73</v>
      </c>
      <c r="C16" s="16" t="s">
        <v>74</v>
      </c>
      <c r="D16" s="16" t="str">
        <f>"1,1893"</f>
        <v>1,1893</v>
      </c>
      <c r="E16" s="16" t="s">
        <v>56</v>
      </c>
      <c r="F16" s="16" t="s">
        <v>45</v>
      </c>
      <c r="G16" s="17" t="s">
        <v>47</v>
      </c>
      <c r="H16" s="18" t="s">
        <v>47</v>
      </c>
      <c r="I16" s="18" t="s">
        <v>69</v>
      </c>
      <c r="J16" s="17"/>
      <c r="K16" s="18" t="s">
        <v>75</v>
      </c>
      <c r="L16" s="18" t="s">
        <v>35</v>
      </c>
      <c r="M16" s="17" t="s">
        <v>36</v>
      </c>
      <c r="N16" s="17"/>
      <c r="O16" s="18" t="s">
        <v>60</v>
      </c>
      <c r="P16" s="18" t="s">
        <v>61</v>
      </c>
      <c r="Q16" s="18" t="s">
        <v>32</v>
      </c>
      <c r="R16" s="17"/>
      <c r="S16" s="16" t="str">
        <f>"175,0"</f>
        <v>175,0</v>
      </c>
      <c r="T16" s="18" t="str">
        <f>"255,9968"</f>
        <v>255,9968</v>
      </c>
      <c r="U16" s="16" t="s">
        <v>64</v>
      </c>
    </row>
    <row r="18" spans="1:20" ht="15">
      <c r="A18" s="51" t="s">
        <v>76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1" ht="12.75">
      <c r="A19" s="10" t="s">
        <v>78</v>
      </c>
      <c r="B19" s="10" t="s">
        <v>79</v>
      </c>
      <c r="C19" s="10" t="s">
        <v>80</v>
      </c>
      <c r="D19" s="10" t="str">
        <f>"0,8286"</f>
        <v>0,8286</v>
      </c>
      <c r="E19" s="10" t="s">
        <v>56</v>
      </c>
      <c r="F19" s="10" t="s">
        <v>45</v>
      </c>
      <c r="G19" s="12" t="s">
        <v>60</v>
      </c>
      <c r="H19" s="12" t="s">
        <v>81</v>
      </c>
      <c r="I19" s="12" t="s">
        <v>37</v>
      </c>
      <c r="J19" s="11"/>
      <c r="K19" s="12" t="s">
        <v>82</v>
      </c>
      <c r="L19" s="12" t="s">
        <v>70</v>
      </c>
      <c r="M19" s="12" t="s">
        <v>60</v>
      </c>
      <c r="N19" s="11"/>
      <c r="O19" s="12" t="s">
        <v>32</v>
      </c>
      <c r="P19" s="12" t="s">
        <v>38</v>
      </c>
      <c r="Q19" s="12" t="s">
        <v>83</v>
      </c>
      <c r="R19" s="11"/>
      <c r="S19" s="10" t="str">
        <f>"232,5"</f>
        <v>232,5</v>
      </c>
      <c r="T19" s="12" t="str">
        <f>"227,3264"</f>
        <v>227,3264</v>
      </c>
      <c r="U19" s="10" t="s">
        <v>64</v>
      </c>
    </row>
    <row r="21" spans="1:20" ht="15">
      <c r="A21" s="51" t="s">
        <v>51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1" ht="12.75">
      <c r="A22" s="10" t="s">
        <v>85</v>
      </c>
      <c r="B22" s="10" t="s">
        <v>86</v>
      </c>
      <c r="C22" s="10" t="s">
        <v>87</v>
      </c>
      <c r="D22" s="10" t="str">
        <f>"0,7347"</f>
        <v>0,7347</v>
      </c>
      <c r="E22" s="10" t="s">
        <v>56</v>
      </c>
      <c r="F22" s="10" t="s">
        <v>45</v>
      </c>
      <c r="G22" s="12" t="s">
        <v>57</v>
      </c>
      <c r="H22" s="12" t="s">
        <v>58</v>
      </c>
      <c r="I22" s="12" t="s">
        <v>59</v>
      </c>
      <c r="J22" s="11"/>
      <c r="K22" s="12" t="s">
        <v>38</v>
      </c>
      <c r="L22" s="12" t="s">
        <v>88</v>
      </c>
      <c r="M22" s="11" t="s">
        <v>83</v>
      </c>
      <c r="N22" s="11"/>
      <c r="O22" s="12" t="s">
        <v>89</v>
      </c>
      <c r="P22" s="12" t="s">
        <v>90</v>
      </c>
      <c r="Q22" s="12" t="s">
        <v>91</v>
      </c>
      <c r="R22" s="11"/>
      <c r="S22" s="10" t="str">
        <f>"367,5"</f>
        <v>367,5</v>
      </c>
      <c r="T22" s="12" t="str">
        <f>"270,0023"</f>
        <v>270,0023</v>
      </c>
      <c r="U22" s="10" t="s">
        <v>64</v>
      </c>
    </row>
    <row r="24" spans="1:20" ht="15">
      <c r="A24" s="51" t="s">
        <v>92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1" ht="12.75">
      <c r="A25" s="13" t="s">
        <v>94</v>
      </c>
      <c r="B25" s="13" t="s">
        <v>95</v>
      </c>
      <c r="C25" s="13" t="s">
        <v>96</v>
      </c>
      <c r="D25" s="13" t="str">
        <f>"0,6867"</f>
        <v>0,6867</v>
      </c>
      <c r="E25" s="13" t="s">
        <v>29</v>
      </c>
      <c r="F25" s="13" t="s">
        <v>45</v>
      </c>
      <c r="G25" s="15" t="s">
        <v>48</v>
      </c>
      <c r="H25" s="14" t="s">
        <v>48</v>
      </c>
      <c r="I25" s="14" t="s">
        <v>57</v>
      </c>
      <c r="J25" s="15"/>
      <c r="K25" s="14" t="s">
        <v>83</v>
      </c>
      <c r="L25" s="15" t="s">
        <v>97</v>
      </c>
      <c r="M25" s="15" t="s">
        <v>98</v>
      </c>
      <c r="N25" s="15"/>
      <c r="O25" s="14" t="s">
        <v>57</v>
      </c>
      <c r="P25" s="15" t="s">
        <v>63</v>
      </c>
      <c r="Q25" s="15" t="s">
        <v>63</v>
      </c>
      <c r="R25" s="15"/>
      <c r="S25" s="13" t="str">
        <f>"310,0"</f>
        <v>310,0</v>
      </c>
      <c r="T25" s="14" t="str">
        <f>"240,5510"</f>
        <v>240,5510</v>
      </c>
      <c r="U25" s="13" t="s">
        <v>39</v>
      </c>
    </row>
    <row r="26" spans="1:21" ht="12.75">
      <c r="A26" s="19" t="s">
        <v>99</v>
      </c>
      <c r="B26" s="19" t="s">
        <v>100</v>
      </c>
      <c r="C26" s="19" t="s">
        <v>101</v>
      </c>
      <c r="D26" s="19" t="str">
        <f>"0,7146"</f>
        <v>0,7146</v>
      </c>
      <c r="E26" s="19" t="s">
        <v>29</v>
      </c>
      <c r="F26" s="19" t="s">
        <v>45</v>
      </c>
      <c r="G26" s="20" t="s">
        <v>33</v>
      </c>
      <c r="H26" s="20" t="s">
        <v>33</v>
      </c>
      <c r="I26" s="20" t="s">
        <v>33</v>
      </c>
      <c r="J26" s="20"/>
      <c r="K26" s="20" t="s">
        <v>61</v>
      </c>
      <c r="L26" s="21" t="s">
        <v>61</v>
      </c>
      <c r="M26" s="20" t="s">
        <v>33</v>
      </c>
      <c r="N26" s="20"/>
      <c r="O26" s="20" t="s">
        <v>83</v>
      </c>
      <c r="P26" s="20" t="s">
        <v>98</v>
      </c>
      <c r="Q26" s="20" t="s">
        <v>98</v>
      </c>
      <c r="R26" s="20"/>
      <c r="S26" s="19" t="str">
        <f>"0.00"</f>
        <v>0.00</v>
      </c>
      <c r="T26" s="21" t="str">
        <f>"0,0000"</f>
        <v>0,0000</v>
      </c>
      <c r="U26" s="19" t="s">
        <v>39</v>
      </c>
    </row>
    <row r="27" spans="1:21" ht="12.75">
      <c r="A27" s="16" t="s">
        <v>103</v>
      </c>
      <c r="B27" s="16" t="s">
        <v>104</v>
      </c>
      <c r="C27" s="16" t="s">
        <v>105</v>
      </c>
      <c r="D27" s="16" t="str">
        <f>"0,6828"</f>
        <v>0,6828</v>
      </c>
      <c r="E27" s="16" t="s">
        <v>29</v>
      </c>
      <c r="F27" s="16" t="s">
        <v>106</v>
      </c>
      <c r="G27" s="18" t="s">
        <v>89</v>
      </c>
      <c r="H27" s="17" t="s">
        <v>107</v>
      </c>
      <c r="I27" s="17" t="s">
        <v>107</v>
      </c>
      <c r="J27" s="17"/>
      <c r="K27" s="18" t="s">
        <v>48</v>
      </c>
      <c r="L27" s="18" t="s">
        <v>108</v>
      </c>
      <c r="M27" s="17" t="s">
        <v>57</v>
      </c>
      <c r="N27" s="17"/>
      <c r="O27" s="18" t="s">
        <v>109</v>
      </c>
      <c r="P27" s="18" t="s">
        <v>107</v>
      </c>
      <c r="Q27" s="18" t="s">
        <v>110</v>
      </c>
      <c r="R27" s="17"/>
      <c r="S27" s="16" t="str">
        <f>"395,0"</f>
        <v>395,0</v>
      </c>
      <c r="T27" s="18" t="str">
        <f>"269,7060"</f>
        <v>269,7060</v>
      </c>
      <c r="U27" s="16" t="s">
        <v>39</v>
      </c>
    </row>
    <row r="29" spans="1:20" ht="15">
      <c r="A29" s="51" t="s">
        <v>111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1:21" ht="12.75">
      <c r="A30" s="13" t="s">
        <v>112</v>
      </c>
      <c r="B30" s="13" t="s">
        <v>113</v>
      </c>
      <c r="C30" s="13" t="s">
        <v>114</v>
      </c>
      <c r="D30" s="13" t="str">
        <f>"0,6209"</f>
        <v>0,6209</v>
      </c>
      <c r="E30" s="13" t="s">
        <v>56</v>
      </c>
      <c r="F30" s="13" t="s">
        <v>45</v>
      </c>
      <c r="G30" s="15" t="s">
        <v>115</v>
      </c>
      <c r="H30" s="15"/>
      <c r="I30" s="15"/>
      <c r="J30" s="15"/>
      <c r="K30" s="15" t="s">
        <v>48</v>
      </c>
      <c r="L30" s="15"/>
      <c r="M30" s="15"/>
      <c r="N30" s="15"/>
      <c r="O30" s="15" t="s">
        <v>91</v>
      </c>
      <c r="P30" s="15"/>
      <c r="Q30" s="15"/>
      <c r="R30" s="15"/>
      <c r="S30" s="13" t="str">
        <f>"0.00"</f>
        <v>0.00</v>
      </c>
      <c r="T30" s="14" t="str">
        <f>"0,0000"</f>
        <v>0,0000</v>
      </c>
      <c r="U30" s="13" t="s">
        <v>64</v>
      </c>
    </row>
    <row r="31" spans="1:21" ht="12.75">
      <c r="A31" s="16" t="s">
        <v>117</v>
      </c>
      <c r="B31" s="16" t="s">
        <v>118</v>
      </c>
      <c r="C31" s="16" t="s">
        <v>119</v>
      </c>
      <c r="D31" s="16" t="str">
        <f>"0,6301"</f>
        <v>0,6301</v>
      </c>
      <c r="E31" s="16" t="s">
        <v>29</v>
      </c>
      <c r="F31" s="16" t="s">
        <v>120</v>
      </c>
      <c r="G31" s="18" t="s">
        <v>91</v>
      </c>
      <c r="H31" s="17" t="s">
        <v>121</v>
      </c>
      <c r="I31" s="17" t="s">
        <v>121</v>
      </c>
      <c r="J31" s="17"/>
      <c r="K31" s="18" t="s">
        <v>57</v>
      </c>
      <c r="L31" s="18" t="s">
        <v>59</v>
      </c>
      <c r="M31" s="18" t="s">
        <v>63</v>
      </c>
      <c r="N31" s="17"/>
      <c r="O31" s="18" t="s">
        <v>121</v>
      </c>
      <c r="P31" s="18" t="s">
        <v>122</v>
      </c>
      <c r="Q31" s="18" t="s">
        <v>123</v>
      </c>
      <c r="R31" s="17"/>
      <c r="S31" s="16" t="str">
        <f>"470,0"</f>
        <v>470,0</v>
      </c>
      <c r="T31" s="18" t="str">
        <f>"296,1470"</f>
        <v>296,1470</v>
      </c>
      <c r="U31" s="16" t="s">
        <v>39</v>
      </c>
    </row>
    <row r="33" spans="1:20" ht="15">
      <c r="A33" s="51" t="s">
        <v>124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1" ht="12.75">
      <c r="A34" s="13" t="s">
        <v>126</v>
      </c>
      <c r="B34" s="13" t="s">
        <v>127</v>
      </c>
      <c r="C34" s="13" t="s">
        <v>128</v>
      </c>
      <c r="D34" s="13" t="str">
        <f>"0,6004"</f>
        <v>0,6004</v>
      </c>
      <c r="E34" s="13" t="s">
        <v>29</v>
      </c>
      <c r="F34" s="13" t="s">
        <v>120</v>
      </c>
      <c r="G34" s="14" t="s">
        <v>129</v>
      </c>
      <c r="H34" s="14" t="s">
        <v>97</v>
      </c>
      <c r="I34" s="14" t="s">
        <v>48</v>
      </c>
      <c r="J34" s="15"/>
      <c r="K34" s="14" t="s">
        <v>70</v>
      </c>
      <c r="L34" s="14" t="s">
        <v>61</v>
      </c>
      <c r="M34" s="15" t="s">
        <v>32</v>
      </c>
      <c r="N34" s="15"/>
      <c r="O34" s="14" t="s">
        <v>130</v>
      </c>
      <c r="P34" s="14" t="s">
        <v>115</v>
      </c>
      <c r="Q34" s="14" t="s">
        <v>107</v>
      </c>
      <c r="R34" s="15"/>
      <c r="S34" s="13" t="str">
        <f>"315,0"</f>
        <v>315,0</v>
      </c>
      <c r="T34" s="14" t="str">
        <f>"223,1687"</f>
        <v>223,1687</v>
      </c>
      <c r="U34" s="13" t="s">
        <v>39</v>
      </c>
    </row>
    <row r="35" spans="1:21" ht="12.75">
      <c r="A35" s="16" t="s">
        <v>132</v>
      </c>
      <c r="B35" s="16" t="s">
        <v>133</v>
      </c>
      <c r="C35" s="16" t="s">
        <v>134</v>
      </c>
      <c r="D35" s="16" t="str">
        <f>"0,6093"</f>
        <v>0,6093</v>
      </c>
      <c r="E35" s="16" t="s">
        <v>135</v>
      </c>
      <c r="F35" s="16" t="s">
        <v>136</v>
      </c>
      <c r="G35" s="18" t="s">
        <v>115</v>
      </c>
      <c r="H35" s="18" t="s">
        <v>90</v>
      </c>
      <c r="I35" s="17" t="s">
        <v>110</v>
      </c>
      <c r="J35" s="17"/>
      <c r="K35" s="18" t="s">
        <v>129</v>
      </c>
      <c r="L35" s="17" t="s">
        <v>83</v>
      </c>
      <c r="M35" s="17"/>
      <c r="N35" s="17"/>
      <c r="O35" s="18" t="s">
        <v>137</v>
      </c>
      <c r="P35" s="18" t="s">
        <v>138</v>
      </c>
      <c r="Q35" s="17" t="s">
        <v>139</v>
      </c>
      <c r="R35" s="17"/>
      <c r="S35" s="16" t="str">
        <f>"445,0"</f>
        <v>445,0</v>
      </c>
      <c r="T35" s="18" t="str">
        <f>"306,3865"</f>
        <v>306,3865</v>
      </c>
      <c r="U35" s="16" t="s">
        <v>140</v>
      </c>
    </row>
    <row r="37" spans="1:20" ht="15">
      <c r="A37" s="51" t="s">
        <v>141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1" ht="12.75">
      <c r="A38" s="13" t="s">
        <v>143</v>
      </c>
      <c r="B38" s="13" t="s">
        <v>144</v>
      </c>
      <c r="C38" s="13" t="s">
        <v>145</v>
      </c>
      <c r="D38" s="13" t="str">
        <f>"0,5553"</f>
        <v>0,5553</v>
      </c>
      <c r="E38" s="13" t="s">
        <v>135</v>
      </c>
      <c r="F38" s="13" t="s">
        <v>136</v>
      </c>
      <c r="G38" s="14" t="s">
        <v>146</v>
      </c>
      <c r="H38" s="14" t="s">
        <v>122</v>
      </c>
      <c r="I38" s="14" t="s">
        <v>137</v>
      </c>
      <c r="J38" s="15"/>
      <c r="K38" s="14" t="s">
        <v>59</v>
      </c>
      <c r="L38" s="14" t="s">
        <v>130</v>
      </c>
      <c r="M38" s="14" t="s">
        <v>89</v>
      </c>
      <c r="N38" s="15"/>
      <c r="O38" s="14" t="s">
        <v>138</v>
      </c>
      <c r="P38" s="14" t="s">
        <v>147</v>
      </c>
      <c r="Q38" s="14" t="s">
        <v>148</v>
      </c>
      <c r="R38" s="15"/>
      <c r="S38" s="13" t="str">
        <f>"550,0"</f>
        <v>550,0</v>
      </c>
      <c r="T38" s="14" t="str">
        <f>"317,6316"</f>
        <v>317,6316</v>
      </c>
      <c r="U38" s="13" t="s">
        <v>149</v>
      </c>
    </row>
    <row r="39" spans="1:21" ht="12.75">
      <c r="A39" s="19" t="s">
        <v>151</v>
      </c>
      <c r="B39" s="19" t="s">
        <v>152</v>
      </c>
      <c r="C39" s="19" t="s">
        <v>153</v>
      </c>
      <c r="D39" s="19" t="str">
        <f>"0,5602"</f>
        <v>0,5602</v>
      </c>
      <c r="E39" s="19" t="s">
        <v>29</v>
      </c>
      <c r="F39" s="19" t="s">
        <v>106</v>
      </c>
      <c r="G39" s="21" t="s">
        <v>115</v>
      </c>
      <c r="H39" s="21" t="s">
        <v>90</v>
      </c>
      <c r="I39" s="21" t="s">
        <v>154</v>
      </c>
      <c r="J39" s="20"/>
      <c r="K39" s="21" t="s">
        <v>59</v>
      </c>
      <c r="L39" s="21" t="s">
        <v>63</v>
      </c>
      <c r="M39" s="20" t="s">
        <v>130</v>
      </c>
      <c r="N39" s="20"/>
      <c r="O39" s="21" t="s">
        <v>121</v>
      </c>
      <c r="P39" s="21" t="s">
        <v>123</v>
      </c>
      <c r="Q39" s="21" t="s">
        <v>155</v>
      </c>
      <c r="R39" s="20"/>
      <c r="S39" s="19" t="str">
        <f>"477,5"</f>
        <v>477,5</v>
      </c>
      <c r="T39" s="21" t="str">
        <f>"267,4955"</f>
        <v>267,4955</v>
      </c>
      <c r="U39" s="19" t="s">
        <v>39</v>
      </c>
    </row>
    <row r="40" spans="1:21" ht="12.75">
      <c r="A40" s="19" t="s">
        <v>157</v>
      </c>
      <c r="B40" s="19" t="s">
        <v>158</v>
      </c>
      <c r="C40" s="19" t="s">
        <v>145</v>
      </c>
      <c r="D40" s="19" t="str">
        <f>"0,5553"</f>
        <v>0,5553</v>
      </c>
      <c r="E40" s="19" t="s">
        <v>29</v>
      </c>
      <c r="F40" s="19" t="s">
        <v>45</v>
      </c>
      <c r="G40" s="20" t="s">
        <v>122</v>
      </c>
      <c r="H40" s="20" t="s">
        <v>122</v>
      </c>
      <c r="I40" s="20" t="s">
        <v>122</v>
      </c>
      <c r="J40" s="20"/>
      <c r="K40" s="20" t="s">
        <v>91</v>
      </c>
      <c r="L40" s="20"/>
      <c r="M40" s="20"/>
      <c r="N40" s="20"/>
      <c r="O40" s="20" t="s">
        <v>159</v>
      </c>
      <c r="P40" s="20"/>
      <c r="Q40" s="20"/>
      <c r="R40" s="20"/>
      <c r="S40" s="19" t="str">
        <f>"0.00"</f>
        <v>0.00</v>
      </c>
      <c r="T40" s="21" t="str">
        <f>"0,0000"</f>
        <v>0,0000</v>
      </c>
      <c r="U40" s="19" t="s">
        <v>39</v>
      </c>
    </row>
    <row r="41" spans="1:21" ht="12.75">
      <c r="A41" s="16" t="s">
        <v>161</v>
      </c>
      <c r="B41" s="16" t="s">
        <v>162</v>
      </c>
      <c r="C41" s="16" t="s">
        <v>163</v>
      </c>
      <c r="D41" s="16" t="str">
        <f>"0,5586"</f>
        <v>0,5586</v>
      </c>
      <c r="E41" s="16" t="s">
        <v>164</v>
      </c>
      <c r="F41" s="16" t="s">
        <v>165</v>
      </c>
      <c r="G41" s="18" t="s">
        <v>166</v>
      </c>
      <c r="H41" s="18" t="s">
        <v>138</v>
      </c>
      <c r="I41" s="17" t="s">
        <v>139</v>
      </c>
      <c r="J41" s="17"/>
      <c r="K41" s="17" t="s">
        <v>130</v>
      </c>
      <c r="L41" s="18" t="s">
        <v>130</v>
      </c>
      <c r="M41" s="18" t="s">
        <v>115</v>
      </c>
      <c r="N41" s="17"/>
      <c r="O41" s="18" t="s">
        <v>138</v>
      </c>
      <c r="P41" s="17" t="s">
        <v>139</v>
      </c>
      <c r="Q41" s="18" t="s">
        <v>139</v>
      </c>
      <c r="R41" s="17"/>
      <c r="S41" s="16" t="str">
        <f>"565,0"</f>
        <v>565,0</v>
      </c>
      <c r="T41" s="18" t="str">
        <f>"315,6090"</f>
        <v>315,6090</v>
      </c>
      <c r="U41" s="16" t="s">
        <v>167</v>
      </c>
    </row>
    <row r="43" spans="1:20" ht="15">
      <c r="A43" s="51" t="s">
        <v>168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1" ht="12.75">
      <c r="A44" s="13" t="s">
        <v>170</v>
      </c>
      <c r="B44" s="13" t="s">
        <v>171</v>
      </c>
      <c r="C44" s="13" t="s">
        <v>172</v>
      </c>
      <c r="D44" s="13" t="str">
        <f>"0,5365"</f>
        <v>0,5365</v>
      </c>
      <c r="E44" s="13" t="s">
        <v>56</v>
      </c>
      <c r="F44" s="13" t="s">
        <v>45</v>
      </c>
      <c r="G44" s="14" t="s">
        <v>148</v>
      </c>
      <c r="H44" s="14" t="s">
        <v>173</v>
      </c>
      <c r="I44" s="15" t="s">
        <v>174</v>
      </c>
      <c r="J44" s="15"/>
      <c r="K44" s="14" t="s">
        <v>90</v>
      </c>
      <c r="L44" s="15" t="s">
        <v>110</v>
      </c>
      <c r="M44" s="15" t="s">
        <v>110</v>
      </c>
      <c r="N44" s="15"/>
      <c r="O44" s="14" t="s">
        <v>147</v>
      </c>
      <c r="P44" s="15" t="s">
        <v>175</v>
      </c>
      <c r="Q44" s="15"/>
      <c r="R44" s="15"/>
      <c r="S44" s="13" t="str">
        <f>"605,0"</f>
        <v>605,0</v>
      </c>
      <c r="T44" s="14" t="str">
        <f>"324,5825"</f>
        <v>324,5825</v>
      </c>
      <c r="U44" s="13" t="s">
        <v>64</v>
      </c>
    </row>
    <row r="45" spans="1:21" ht="12.75">
      <c r="A45" s="16" t="s">
        <v>177</v>
      </c>
      <c r="B45" s="16" t="s">
        <v>178</v>
      </c>
      <c r="C45" s="16" t="s">
        <v>179</v>
      </c>
      <c r="D45" s="16" t="str">
        <f>"0,5405"</f>
        <v>0,5405</v>
      </c>
      <c r="E45" s="16" t="s">
        <v>180</v>
      </c>
      <c r="F45" s="16" t="s">
        <v>45</v>
      </c>
      <c r="G45" s="18" t="s">
        <v>166</v>
      </c>
      <c r="H45" s="18" t="s">
        <v>138</v>
      </c>
      <c r="I45" s="17" t="s">
        <v>139</v>
      </c>
      <c r="J45" s="17"/>
      <c r="K45" s="18" t="s">
        <v>130</v>
      </c>
      <c r="L45" s="18" t="s">
        <v>115</v>
      </c>
      <c r="M45" s="17" t="s">
        <v>107</v>
      </c>
      <c r="N45" s="17"/>
      <c r="O45" s="18" t="s">
        <v>148</v>
      </c>
      <c r="P45" s="17" t="s">
        <v>159</v>
      </c>
      <c r="Q45" s="17" t="s">
        <v>159</v>
      </c>
      <c r="R45" s="17"/>
      <c r="S45" s="16" t="str">
        <f>"575,0"</f>
        <v>575,0</v>
      </c>
      <c r="T45" s="18" t="str">
        <f>"310,7875"</f>
        <v>310,7875</v>
      </c>
      <c r="U45" s="16" t="s">
        <v>181</v>
      </c>
    </row>
    <row r="47" ht="15">
      <c r="E47" s="8" t="s">
        <v>13</v>
      </c>
    </row>
    <row r="48" ht="15">
      <c r="E48" s="8" t="s">
        <v>14</v>
      </c>
    </row>
    <row r="49" ht="15">
      <c r="E49" s="8" t="s">
        <v>15</v>
      </c>
    </row>
    <row r="50" ht="15">
      <c r="E50" s="8" t="s">
        <v>16</v>
      </c>
    </row>
    <row r="51" ht="15">
      <c r="E51" s="8" t="s">
        <v>16</v>
      </c>
    </row>
    <row r="52" ht="15">
      <c r="E52" s="8" t="s">
        <v>17</v>
      </c>
    </row>
    <row r="53" ht="15">
      <c r="E53" s="8"/>
    </row>
    <row r="55" spans="1:2" ht="18">
      <c r="A55" s="9" t="s">
        <v>18</v>
      </c>
      <c r="B55" s="9"/>
    </row>
    <row r="56" spans="1:2" ht="15">
      <c r="A56" s="22" t="s">
        <v>182</v>
      </c>
      <c r="B56" s="22"/>
    </row>
    <row r="57" spans="1:2" ht="14.25">
      <c r="A57" s="24"/>
      <c r="B57" s="25" t="s">
        <v>183</v>
      </c>
    </row>
    <row r="58" spans="1:5" ht="15">
      <c r="A58" s="26" t="s">
        <v>184</v>
      </c>
      <c r="B58" s="26" t="s">
        <v>185</v>
      </c>
      <c r="C58" s="26" t="s">
        <v>186</v>
      </c>
      <c r="D58" s="26" t="s">
        <v>187</v>
      </c>
      <c r="E58" s="26" t="s">
        <v>188</v>
      </c>
    </row>
    <row r="59" spans="1:5" ht="12.75">
      <c r="A59" s="23" t="s">
        <v>52</v>
      </c>
      <c r="B59" s="4" t="s">
        <v>189</v>
      </c>
      <c r="C59" s="4" t="s">
        <v>190</v>
      </c>
      <c r="D59" s="4" t="s">
        <v>191</v>
      </c>
      <c r="E59" s="27" t="s">
        <v>192</v>
      </c>
    </row>
    <row r="61" spans="1:2" ht="14.25">
      <c r="A61" s="24"/>
      <c r="B61" s="25" t="s">
        <v>193</v>
      </c>
    </row>
    <row r="62" spans="1:5" ht="15">
      <c r="A62" s="26" t="s">
        <v>184</v>
      </c>
      <c r="B62" s="26" t="s">
        <v>185</v>
      </c>
      <c r="C62" s="26" t="s">
        <v>186</v>
      </c>
      <c r="D62" s="26" t="s">
        <v>187</v>
      </c>
      <c r="E62" s="26" t="s">
        <v>188</v>
      </c>
    </row>
    <row r="63" spans="1:5" ht="12.75">
      <c r="A63" s="23" t="s">
        <v>41</v>
      </c>
      <c r="B63" s="4" t="s">
        <v>193</v>
      </c>
      <c r="C63" s="4" t="s">
        <v>194</v>
      </c>
      <c r="D63" s="4" t="s">
        <v>159</v>
      </c>
      <c r="E63" s="27" t="s">
        <v>195</v>
      </c>
    </row>
    <row r="64" spans="1:5" ht="12.75">
      <c r="A64" s="23" t="s">
        <v>25</v>
      </c>
      <c r="B64" s="4" t="s">
        <v>193</v>
      </c>
      <c r="C64" s="4" t="s">
        <v>196</v>
      </c>
      <c r="D64" s="4" t="s">
        <v>166</v>
      </c>
      <c r="E64" s="27" t="s">
        <v>197</v>
      </c>
    </row>
    <row r="67" spans="1:2" ht="15">
      <c r="A67" s="22" t="s">
        <v>198</v>
      </c>
      <c r="B67" s="22"/>
    </row>
    <row r="68" spans="1:2" ht="14.25">
      <c r="A68" s="24"/>
      <c r="B68" s="25" t="s">
        <v>199</v>
      </c>
    </row>
    <row r="69" spans="1:5" ht="15">
      <c r="A69" s="26" t="s">
        <v>184</v>
      </c>
      <c r="B69" s="26" t="s">
        <v>185</v>
      </c>
      <c r="C69" s="26" t="s">
        <v>186</v>
      </c>
      <c r="D69" s="26" t="s">
        <v>187</v>
      </c>
      <c r="E69" s="26" t="s">
        <v>188</v>
      </c>
    </row>
    <row r="70" spans="1:5" ht="12.75">
      <c r="A70" s="23" t="s">
        <v>142</v>
      </c>
      <c r="B70" s="4" t="s">
        <v>189</v>
      </c>
      <c r="C70" s="4" t="s">
        <v>200</v>
      </c>
      <c r="D70" s="4" t="s">
        <v>201</v>
      </c>
      <c r="E70" s="27" t="s">
        <v>202</v>
      </c>
    </row>
    <row r="71" spans="1:5" ht="12.75">
      <c r="A71" s="23" t="s">
        <v>131</v>
      </c>
      <c r="B71" s="4" t="s">
        <v>203</v>
      </c>
      <c r="C71" s="4" t="s">
        <v>204</v>
      </c>
      <c r="D71" s="4" t="s">
        <v>205</v>
      </c>
      <c r="E71" s="27" t="s">
        <v>206</v>
      </c>
    </row>
    <row r="72" spans="1:5" ht="12.75">
      <c r="A72" s="23" t="s">
        <v>71</v>
      </c>
      <c r="B72" s="4" t="s">
        <v>207</v>
      </c>
      <c r="C72" s="4" t="s">
        <v>194</v>
      </c>
      <c r="D72" s="4" t="s">
        <v>208</v>
      </c>
      <c r="E72" s="27" t="s">
        <v>209</v>
      </c>
    </row>
    <row r="73" spans="1:5" ht="12.75">
      <c r="A73" s="23" t="s">
        <v>93</v>
      </c>
      <c r="B73" s="4" t="s">
        <v>203</v>
      </c>
      <c r="C73" s="4" t="s">
        <v>210</v>
      </c>
      <c r="D73" s="4" t="s">
        <v>191</v>
      </c>
      <c r="E73" s="27" t="s">
        <v>211</v>
      </c>
    </row>
    <row r="74" spans="1:5" ht="12.75">
      <c r="A74" s="23" t="s">
        <v>77</v>
      </c>
      <c r="B74" s="4" t="s">
        <v>212</v>
      </c>
      <c r="C74" s="4" t="s">
        <v>213</v>
      </c>
      <c r="D74" s="4" t="s">
        <v>214</v>
      </c>
      <c r="E74" s="27" t="s">
        <v>215</v>
      </c>
    </row>
    <row r="75" spans="1:5" ht="12.75">
      <c r="A75" s="23" t="s">
        <v>125</v>
      </c>
      <c r="B75" s="4" t="s">
        <v>212</v>
      </c>
      <c r="C75" s="4" t="s">
        <v>204</v>
      </c>
      <c r="D75" s="4" t="s">
        <v>216</v>
      </c>
      <c r="E75" s="27" t="s">
        <v>217</v>
      </c>
    </row>
    <row r="76" spans="1:5" ht="12.75">
      <c r="A76" s="23" t="s">
        <v>65</v>
      </c>
      <c r="B76" s="4" t="s">
        <v>207</v>
      </c>
      <c r="C76" s="4" t="s">
        <v>194</v>
      </c>
      <c r="D76" s="4" t="s">
        <v>218</v>
      </c>
      <c r="E76" s="27" t="s">
        <v>219</v>
      </c>
    </row>
    <row r="78" spans="1:2" ht="14.25">
      <c r="A78" s="24"/>
      <c r="B78" s="25" t="s">
        <v>220</v>
      </c>
    </row>
    <row r="79" spans="1:5" ht="15">
      <c r="A79" s="26" t="s">
        <v>184</v>
      </c>
      <c r="B79" s="26" t="s">
        <v>185</v>
      </c>
      <c r="C79" s="26" t="s">
        <v>186</v>
      </c>
      <c r="D79" s="26" t="s">
        <v>187</v>
      </c>
      <c r="E79" s="26" t="s">
        <v>188</v>
      </c>
    </row>
    <row r="80" spans="1:5" ht="12.75">
      <c r="A80" s="23" t="s">
        <v>84</v>
      </c>
      <c r="B80" s="4" t="s">
        <v>221</v>
      </c>
      <c r="C80" s="4" t="s">
        <v>190</v>
      </c>
      <c r="D80" s="4" t="s">
        <v>222</v>
      </c>
      <c r="E80" s="27" t="s">
        <v>223</v>
      </c>
    </row>
    <row r="82" spans="1:2" ht="14.25">
      <c r="A82" s="24"/>
      <c r="B82" s="25" t="s">
        <v>193</v>
      </c>
    </row>
    <row r="83" spans="1:5" ht="15">
      <c r="A83" s="26" t="s">
        <v>184</v>
      </c>
      <c r="B83" s="26" t="s">
        <v>185</v>
      </c>
      <c r="C83" s="26" t="s">
        <v>186</v>
      </c>
      <c r="D83" s="26" t="s">
        <v>187</v>
      </c>
      <c r="E83" s="26" t="s">
        <v>188</v>
      </c>
    </row>
    <row r="84" spans="1:5" ht="12.75">
      <c r="A84" s="23" t="s">
        <v>169</v>
      </c>
      <c r="B84" s="4" t="s">
        <v>193</v>
      </c>
      <c r="C84" s="4" t="s">
        <v>224</v>
      </c>
      <c r="D84" s="4" t="s">
        <v>225</v>
      </c>
      <c r="E84" s="27" t="s">
        <v>226</v>
      </c>
    </row>
    <row r="85" spans="1:5" ht="12.75">
      <c r="A85" s="23" t="s">
        <v>176</v>
      </c>
      <c r="B85" s="4" t="s">
        <v>193</v>
      </c>
      <c r="C85" s="4" t="s">
        <v>224</v>
      </c>
      <c r="D85" s="4" t="s">
        <v>227</v>
      </c>
      <c r="E85" s="27" t="s">
        <v>228</v>
      </c>
    </row>
    <row r="86" spans="1:5" ht="12.75">
      <c r="A86" s="23" t="s">
        <v>116</v>
      </c>
      <c r="B86" s="4" t="s">
        <v>193</v>
      </c>
      <c r="C86" s="4" t="s">
        <v>229</v>
      </c>
      <c r="D86" s="4" t="s">
        <v>230</v>
      </c>
      <c r="E86" s="27" t="s">
        <v>231</v>
      </c>
    </row>
    <row r="87" spans="1:5" ht="12.75">
      <c r="A87" s="23" t="s">
        <v>102</v>
      </c>
      <c r="B87" s="4" t="s">
        <v>193</v>
      </c>
      <c r="C87" s="4" t="s">
        <v>210</v>
      </c>
      <c r="D87" s="4" t="s">
        <v>232</v>
      </c>
      <c r="E87" s="27" t="s">
        <v>233</v>
      </c>
    </row>
    <row r="88" spans="1:5" ht="12.75">
      <c r="A88" s="23" t="s">
        <v>150</v>
      </c>
      <c r="B88" s="4" t="s">
        <v>193</v>
      </c>
      <c r="C88" s="4" t="s">
        <v>200</v>
      </c>
      <c r="D88" s="4" t="s">
        <v>234</v>
      </c>
      <c r="E88" s="27" t="s">
        <v>235</v>
      </c>
    </row>
    <row r="90" spans="1:2" ht="14.25">
      <c r="A90" s="24"/>
      <c r="B90" s="25" t="s">
        <v>236</v>
      </c>
    </row>
    <row r="91" spans="1:5" ht="15">
      <c r="A91" s="26" t="s">
        <v>184</v>
      </c>
      <c r="B91" s="26" t="s">
        <v>185</v>
      </c>
      <c r="C91" s="26" t="s">
        <v>186</v>
      </c>
      <c r="D91" s="26" t="s">
        <v>187</v>
      </c>
      <c r="E91" s="26" t="s">
        <v>188</v>
      </c>
    </row>
    <row r="92" spans="1:5" ht="12.75">
      <c r="A92" s="23" t="s">
        <v>160</v>
      </c>
      <c r="B92" s="4" t="s">
        <v>237</v>
      </c>
      <c r="C92" s="4" t="s">
        <v>200</v>
      </c>
      <c r="D92" s="4" t="s">
        <v>238</v>
      </c>
      <c r="E92" s="27" t="s">
        <v>239</v>
      </c>
    </row>
  </sheetData>
  <sheetProtection/>
  <mergeCells count="24">
    <mergeCell ref="A37:T37"/>
    <mergeCell ref="A43:T43"/>
    <mergeCell ref="A14:T14"/>
    <mergeCell ref="A18:T18"/>
    <mergeCell ref="A21:T21"/>
    <mergeCell ref="A24:T24"/>
    <mergeCell ref="A29:T29"/>
    <mergeCell ref="A33:T33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53" t="s">
        <v>664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665</v>
      </c>
      <c r="H3" s="48"/>
      <c r="I3" s="48"/>
      <c r="J3" s="48"/>
      <c r="K3" s="48" t="s">
        <v>654</v>
      </c>
      <c r="L3" s="48"/>
      <c r="M3" s="48"/>
      <c r="N3" s="48"/>
      <c r="O3" s="48" t="s">
        <v>4</v>
      </c>
      <c r="P3" s="48" t="s">
        <v>6</v>
      </c>
      <c r="Q3" s="36" t="s">
        <v>5</v>
      </c>
    </row>
    <row r="4" spans="1:17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7"/>
      <c r="P4" s="47"/>
      <c r="Q4" s="37"/>
    </row>
    <row r="5" spans="1:16" ht="15">
      <c r="A5" s="49" t="s">
        <v>92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3" t="s">
        <v>667</v>
      </c>
      <c r="B6" s="13" t="s">
        <v>668</v>
      </c>
      <c r="C6" s="13" t="s">
        <v>669</v>
      </c>
      <c r="D6" s="13" t="str">
        <f>"0,6737"</f>
        <v>0,6737</v>
      </c>
      <c r="E6" s="13" t="s">
        <v>29</v>
      </c>
      <c r="F6" s="13" t="s">
        <v>30</v>
      </c>
      <c r="G6" s="15" t="s">
        <v>70</v>
      </c>
      <c r="H6" s="14" t="s">
        <v>547</v>
      </c>
      <c r="I6" s="15" t="s">
        <v>60</v>
      </c>
      <c r="J6" s="15"/>
      <c r="K6" s="14" t="s">
        <v>46</v>
      </c>
      <c r="L6" s="14" t="s">
        <v>47</v>
      </c>
      <c r="M6" s="14" t="s">
        <v>82</v>
      </c>
      <c r="N6" s="15"/>
      <c r="O6" s="13" t="str">
        <f>"117,5"</f>
        <v>117,5</v>
      </c>
      <c r="P6" s="14" t="str">
        <f>"85,4925"</f>
        <v>85,4925</v>
      </c>
      <c r="Q6" s="13" t="s">
        <v>39</v>
      </c>
    </row>
    <row r="7" spans="1:17" ht="12.75">
      <c r="A7" s="16" t="s">
        <v>103</v>
      </c>
      <c r="B7" s="16" t="s">
        <v>104</v>
      </c>
      <c r="C7" s="16" t="s">
        <v>105</v>
      </c>
      <c r="D7" s="16" t="str">
        <f>"0,6828"</f>
        <v>0,6828</v>
      </c>
      <c r="E7" s="16" t="s">
        <v>29</v>
      </c>
      <c r="F7" s="16" t="s">
        <v>106</v>
      </c>
      <c r="G7" s="18" t="s">
        <v>70</v>
      </c>
      <c r="H7" s="18" t="s">
        <v>60</v>
      </c>
      <c r="I7" s="18" t="s">
        <v>31</v>
      </c>
      <c r="J7" s="17"/>
      <c r="K7" s="18" t="s">
        <v>46</v>
      </c>
      <c r="L7" s="18" t="s">
        <v>82</v>
      </c>
      <c r="M7" s="18" t="s">
        <v>70</v>
      </c>
      <c r="N7" s="17"/>
      <c r="O7" s="16" t="str">
        <f>"127,5"</f>
        <v>127,5</v>
      </c>
      <c r="P7" s="18" t="str">
        <f>"87,0570"</f>
        <v>87,0570</v>
      </c>
      <c r="Q7" s="16" t="s">
        <v>39</v>
      </c>
    </row>
    <row r="9" ht="15">
      <c r="E9" s="8" t="s">
        <v>13</v>
      </c>
    </row>
    <row r="10" ht="15">
      <c r="E10" s="8" t="s">
        <v>14</v>
      </c>
    </row>
    <row r="11" ht="15">
      <c r="E11" s="8" t="s">
        <v>15</v>
      </c>
    </row>
    <row r="12" ht="15">
      <c r="E12" s="8" t="s">
        <v>16</v>
      </c>
    </row>
    <row r="13" ht="15">
      <c r="E13" s="8" t="s">
        <v>16</v>
      </c>
    </row>
    <row r="14" ht="15">
      <c r="E14" s="8" t="s">
        <v>17</v>
      </c>
    </row>
    <row r="15" ht="15">
      <c r="E15" s="8"/>
    </row>
    <row r="17" spans="1:2" ht="18">
      <c r="A17" s="9" t="s">
        <v>18</v>
      </c>
      <c r="B17" s="9"/>
    </row>
    <row r="18" spans="1:2" ht="15">
      <c r="A18" s="22" t="s">
        <v>198</v>
      </c>
      <c r="B18" s="22"/>
    </row>
    <row r="19" spans="1:2" ht="14.25">
      <c r="A19" s="24"/>
      <c r="B19" s="25" t="s">
        <v>199</v>
      </c>
    </row>
    <row r="20" spans="1:5" ht="15">
      <c r="A20" s="26" t="s">
        <v>184</v>
      </c>
      <c r="B20" s="26" t="s">
        <v>185</v>
      </c>
      <c r="C20" s="26" t="s">
        <v>186</v>
      </c>
      <c r="D20" s="26" t="s">
        <v>187</v>
      </c>
      <c r="E20" s="26" t="s">
        <v>188</v>
      </c>
    </row>
    <row r="21" spans="1:5" ht="12.75">
      <c r="A21" s="23" t="s">
        <v>666</v>
      </c>
      <c r="B21" s="4" t="s">
        <v>203</v>
      </c>
      <c r="C21" s="4" t="s">
        <v>210</v>
      </c>
      <c r="D21" s="4" t="s">
        <v>62</v>
      </c>
      <c r="E21" s="27" t="s">
        <v>670</v>
      </c>
    </row>
    <row r="23" spans="1:2" ht="14.25">
      <c r="A23" s="24"/>
      <c r="B23" s="25" t="s">
        <v>193</v>
      </c>
    </row>
    <row r="24" spans="1:5" ht="15">
      <c r="A24" s="26" t="s">
        <v>184</v>
      </c>
      <c r="B24" s="26" t="s">
        <v>185</v>
      </c>
      <c r="C24" s="26" t="s">
        <v>186</v>
      </c>
      <c r="D24" s="26" t="s">
        <v>187</v>
      </c>
      <c r="E24" s="26" t="s">
        <v>188</v>
      </c>
    </row>
    <row r="25" spans="1:5" ht="12.75">
      <c r="A25" s="23" t="s">
        <v>102</v>
      </c>
      <c r="B25" s="4" t="s">
        <v>193</v>
      </c>
      <c r="C25" s="4" t="s">
        <v>210</v>
      </c>
      <c r="D25" s="4" t="s">
        <v>671</v>
      </c>
      <c r="E25" s="27" t="s">
        <v>672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658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654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111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660</v>
      </c>
      <c r="B6" s="10" t="s">
        <v>661</v>
      </c>
      <c r="C6" s="10" t="s">
        <v>662</v>
      </c>
      <c r="D6" s="10" t="str">
        <f>"0,6257"</f>
        <v>0,6257</v>
      </c>
      <c r="E6" s="10" t="s">
        <v>29</v>
      </c>
      <c r="F6" s="10" t="s">
        <v>45</v>
      </c>
      <c r="G6" s="12" t="s">
        <v>82</v>
      </c>
      <c r="H6" s="12" t="s">
        <v>70</v>
      </c>
      <c r="I6" s="12" t="s">
        <v>60</v>
      </c>
      <c r="J6" s="11"/>
      <c r="K6" s="10" t="str">
        <f>"65,0"</f>
        <v>65,0</v>
      </c>
      <c r="L6" s="12" t="str">
        <f>"40,6705"</f>
        <v>40,6705</v>
      </c>
      <c r="M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198</v>
      </c>
      <c r="B17" s="22"/>
    </row>
    <row r="18" spans="1:2" ht="14.25">
      <c r="A18" s="24"/>
      <c r="B18" s="25" t="s">
        <v>193</v>
      </c>
    </row>
    <row r="19" spans="1:5" ht="15">
      <c r="A19" s="26" t="s">
        <v>184</v>
      </c>
      <c r="B19" s="26" t="s">
        <v>185</v>
      </c>
      <c r="C19" s="26" t="s">
        <v>186</v>
      </c>
      <c r="D19" s="26" t="s">
        <v>187</v>
      </c>
      <c r="E19" s="26" t="s">
        <v>188</v>
      </c>
    </row>
    <row r="20" spans="1:5" ht="12.75">
      <c r="A20" s="23" t="s">
        <v>659</v>
      </c>
      <c r="B20" s="4" t="s">
        <v>193</v>
      </c>
      <c r="C20" s="4" t="s">
        <v>229</v>
      </c>
      <c r="D20" s="4" t="s">
        <v>60</v>
      </c>
      <c r="E20" s="27" t="s">
        <v>663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8.375" style="4" bestFit="1" customWidth="1"/>
    <col min="14" max="16384" width="9.125" style="3" customWidth="1"/>
  </cols>
  <sheetData>
    <row r="1" spans="1:13" s="2" customFormat="1" ht="28.5" customHeight="1">
      <c r="A1" s="53" t="s">
        <v>653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654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92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103</v>
      </c>
      <c r="B6" s="10" t="s">
        <v>104</v>
      </c>
      <c r="C6" s="10" t="s">
        <v>105</v>
      </c>
      <c r="D6" s="10" t="str">
        <f>"0,6828"</f>
        <v>0,6828</v>
      </c>
      <c r="E6" s="10" t="s">
        <v>29</v>
      </c>
      <c r="F6" s="10" t="s">
        <v>106</v>
      </c>
      <c r="G6" s="12" t="s">
        <v>46</v>
      </c>
      <c r="H6" s="12" t="s">
        <v>82</v>
      </c>
      <c r="I6" s="12" t="s">
        <v>70</v>
      </c>
      <c r="J6" s="11"/>
      <c r="K6" s="10" t="str">
        <f>"60,0"</f>
        <v>60,0</v>
      </c>
      <c r="L6" s="12" t="str">
        <f>"40,9680"</f>
        <v>40,9680</v>
      </c>
      <c r="M6" s="10" t="s">
        <v>39</v>
      </c>
    </row>
    <row r="8" spans="1:12" ht="15">
      <c r="A8" s="51" t="s">
        <v>124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10" t="s">
        <v>473</v>
      </c>
      <c r="B9" s="10" t="s">
        <v>474</v>
      </c>
      <c r="C9" s="10" t="s">
        <v>475</v>
      </c>
      <c r="D9" s="10" t="str">
        <f>"0,5978"</f>
        <v>0,5978</v>
      </c>
      <c r="E9" s="10" t="s">
        <v>29</v>
      </c>
      <c r="F9" s="10" t="s">
        <v>45</v>
      </c>
      <c r="G9" s="11" t="s">
        <v>46</v>
      </c>
      <c r="H9" s="12" t="s">
        <v>47</v>
      </c>
      <c r="I9" s="11" t="s">
        <v>69</v>
      </c>
      <c r="J9" s="11"/>
      <c r="K9" s="10" t="str">
        <f>"52,5"</f>
        <v>52,5</v>
      </c>
      <c r="L9" s="12" t="str">
        <f>"32,6399"</f>
        <v>32,6399</v>
      </c>
      <c r="M9" s="10" t="s">
        <v>655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22" t="s">
        <v>198</v>
      </c>
      <c r="B20" s="22"/>
    </row>
    <row r="21" spans="1:2" ht="14.25">
      <c r="A21" s="24"/>
      <c r="B21" s="25" t="s">
        <v>199</v>
      </c>
    </row>
    <row r="22" spans="1:5" ht="15">
      <c r="A22" s="26" t="s">
        <v>184</v>
      </c>
      <c r="B22" s="26" t="s">
        <v>185</v>
      </c>
      <c r="C22" s="26" t="s">
        <v>186</v>
      </c>
      <c r="D22" s="26" t="s">
        <v>187</v>
      </c>
      <c r="E22" s="26" t="s">
        <v>188</v>
      </c>
    </row>
    <row r="23" spans="1:5" ht="12.75">
      <c r="A23" s="23" t="s">
        <v>472</v>
      </c>
      <c r="B23" s="4" t="s">
        <v>189</v>
      </c>
      <c r="C23" s="4" t="s">
        <v>204</v>
      </c>
      <c r="D23" s="4" t="s">
        <v>47</v>
      </c>
      <c r="E23" s="27" t="s">
        <v>656</v>
      </c>
    </row>
    <row r="25" spans="1:2" ht="14.25">
      <c r="A25" s="24"/>
      <c r="B25" s="25" t="s">
        <v>193</v>
      </c>
    </row>
    <row r="26" spans="1:5" ht="15">
      <c r="A26" s="26" t="s">
        <v>184</v>
      </c>
      <c r="B26" s="26" t="s">
        <v>185</v>
      </c>
      <c r="C26" s="26" t="s">
        <v>186</v>
      </c>
      <c r="D26" s="26" t="s">
        <v>187</v>
      </c>
      <c r="E26" s="26" t="s">
        <v>188</v>
      </c>
    </row>
    <row r="27" spans="1:5" ht="12.75">
      <c r="A27" s="23" t="s">
        <v>102</v>
      </c>
      <c r="B27" s="4" t="s">
        <v>193</v>
      </c>
      <c r="C27" s="4" t="s">
        <v>210</v>
      </c>
      <c r="D27" s="4" t="s">
        <v>70</v>
      </c>
      <c r="E27" s="27" t="s">
        <v>657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11.625" style="4" bestFit="1" customWidth="1"/>
    <col min="12" max="16384" width="9.125" style="3" customWidth="1"/>
  </cols>
  <sheetData>
    <row r="1" spans="1:11" s="2" customFormat="1" ht="28.5" customHeight="1">
      <c r="A1" s="53" t="s">
        <v>633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618</v>
      </c>
      <c r="E3" s="48" t="s">
        <v>7</v>
      </c>
      <c r="F3" s="48" t="s">
        <v>12</v>
      </c>
      <c r="G3" s="48" t="s">
        <v>601</v>
      </c>
      <c r="H3" s="48"/>
      <c r="I3" s="48" t="s">
        <v>604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602</v>
      </c>
      <c r="H4" s="28" t="s">
        <v>603</v>
      </c>
      <c r="I4" s="47"/>
      <c r="J4" s="47"/>
      <c r="K4" s="37"/>
    </row>
    <row r="5" spans="1:10" ht="15">
      <c r="A5" s="49" t="s">
        <v>619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3" t="s">
        <v>635</v>
      </c>
      <c r="B6" s="13" t="s">
        <v>636</v>
      </c>
      <c r="C6" s="13" t="s">
        <v>637</v>
      </c>
      <c r="D6" s="13" t="str">
        <f>"1,0000"</f>
        <v>1,0000</v>
      </c>
      <c r="E6" s="13" t="s">
        <v>164</v>
      </c>
      <c r="F6" s="13" t="s">
        <v>165</v>
      </c>
      <c r="G6" s="14" t="s">
        <v>82</v>
      </c>
      <c r="H6" s="30" t="s">
        <v>638</v>
      </c>
      <c r="I6" s="13" t="str">
        <f>"2640,0"</f>
        <v>2640,0</v>
      </c>
      <c r="J6" s="14" t="str">
        <f>"32,9588"</f>
        <v>32,9588</v>
      </c>
      <c r="K6" s="13" t="s">
        <v>39</v>
      </c>
    </row>
    <row r="7" spans="1:11" ht="12.75">
      <c r="A7" s="19" t="s">
        <v>640</v>
      </c>
      <c r="B7" s="19" t="s">
        <v>641</v>
      </c>
      <c r="C7" s="19" t="s">
        <v>642</v>
      </c>
      <c r="D7" s="19" t="str">
        <f>"1,0000"</f>
        <v>1,0000</v>
      </c>
      <c r="E7" s="19" t="s">
        <v>164</v>
      </c>
      <c r="F7" s="19" t="s">
        <v>165</v>
      </c>
      <c r="G7" s="21" t="s">
        <v>82</v>
      </c>
      <c r="H7" s="33" t="s">
        <v>298</v>
      </c>
      <c r="I7" s="19" t="str">
        <f>"1925,0"</f>
        <v>1925,0</v>
      </c>
      <c r="J7" s="21" t="str">
        <f>"24,5535"</f>
        <v>24,5535</v>
      </c>
      <c r="K7" s="19" t="s">
        <v>167</v>
      </c>
    </row>
    <row r="8" spans="1:11" ht="12.75">
      <c r="A8" s="16" t="s">
        <v>644</v>
      </c>
      <c r="B8" s="16" t="s">
        <v>645</v>
      </c>
      <c r="C8" s="16" t="s">
        <v>55</v>
      </c>
      <c r="D8" s="16" t="str">
        <f>"1,0000"</f>
        <v>1,0000</v>
      </c>
      <c r="E8" s="16" t="s">
        <v>56</v>
      </c>
      <c r="F8" s="16" t="s">
        <v>45</v>
      </c>
      <c r="G8" s="18" t="s">
        <v>82</v>
      </c>
      <c r="H8" s="31" t="s">
        <v>646</v>
      </c>
      <c r="I8" s="16" t="str">
        <f>"1650,0"</f>
        <v>1650,0</v>
      </c>
      <c r="J8" s="18" t="str">
        <f>"24,4444"</f>
        <v>24,4444</v>
      </c>
      <c r="K8" s="16" t="s">
        <v>64</v>
      </c>
    </row>
    <row r="10" ht="15">
      <c r="E10" s="8" t="s">
        <v>13</v>
      </c>
    </row>
    <row r="11" ht="15">
      <c r="E11" s="8" t="s">
        <v>14</v>
      </c>
    </row>
    <row r="12" ht="15">
      <c r="E12" s="8" t="s">
        <v>15</v>
      </c>
    </row>
    <row r="13" ht="15">
      <c r="E13" s="8" t="s">
        <v>16</v>
      </c>
    </row>
    <row r="14" ht="15">
      <c r="E14" s="8" t="s">
        <v>16</v>
      </c>
    </row>
    <row r="15" ht="15">
      <c r="E15" s="8" t="s">
        <v>17</v>
      </c>
    </row>
    <row r="16" ht="15">
      <c r="E16" s="8"/>
    </row>
    <row r="18" spans="1:2" ht="18">
      <c r="A18" s="9" t="s">
        <v>18</v>
      </c>
      <c r="B18" s="9"/>
    </row>
    <row r="19" spans="1:2" ht="15">
      <c r="A19" s="22" t="s">
        <v>198</v>
      </c>
      <c r="B19" s="22"/>
    </row>
    <row r="20" spans="1:2" ht="14.25">
      <c r="A20" s="24"/>
      <c r="B20" s="25" t="s">
        <v>193</v>
      </c>
    </row>
    <row r="21" spans="1:5" ht="15">
      <c r="A21" s="26" t="s">
        <v>184</v>
      </c>
      <c r="B21" s="26" t="s">
        <v>185</v>
      </c>
      <c r="C21" s="26" t="s">
        <v>186</v>
      </c>
      <c r="D21" s="26" t="s">
        <v>187</v>
      </c>
      <c r="E21" s="26" t="s">
        <v>625</v>
      </c>
    </row>
    <row r="22" spans="1:5" ht="12.75">
      <c r="A22" s="23" t="s">
        <v>634</v>
      </c>
      <c r="B22" s="4" t="s">
        <v>193</v>
      </c>
      <c r="C22" s="4" t="s">
        <v>626</v>
      </c>
      <c r="D22" s="4" t="s">
        <v>647</v>
      </c>
      <c r="E22" s="27" t="s">
        <v>648</v>
      </c>
    </row>
    <row r="23" spans="1:5" ht="12.75">
      <c r="A23" s="23" t="s">
        <v>639</v>
      </c>
      <c r="B23" s="4" t="s">
        <v>193</v>
      </c>
      <c r="C23" s="4" t="s">
        <v>626</v>
      </c>
      <c r="D23" s="4" t="s">
        <v>649</v>
      </c>
      <c r="E23" s="27" t="s">
        <v>650</v>
      </c>
    </row>
    <row r="24" spans="1:5" ht="12.75">
      <c r="A24" s="23" t="s">
        <v>643</v>
      </c>
      <c r="B24" s="4" t="s">
        <v>193</v>
      </c>
      <c r="C24" s="4" t="s">
        <v>626</v>
      </c>
      <c r="D24" s="4" t="s">
        <v>651</v>
      </c>
      <c r="E24" s="27" t="s">
        <v>652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7.62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629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618</v>
      </c>
      <c r="E3" s="48" t="s">
        <v>7</v>
      </c>
      <c r="F3" s="48" t="s">
        <v>12</v>
      </c>
      <c r="G3" s="48" t="s">
        <v>601</v>
      </c>
      <c r="H3" s="48"/>
      <c r="I3" s="48" t="s">
        <v>604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602</v>
      </c>
      <c r="H4" s="28" t="s">
        <v>603</v>
      </c>
      <c r="I4" s="47"/>
      <c r="J4" s="47"/>
      <c r="K4" s="37"/>
    </row>
    <row r="5" spans="1:10" ht="15">
      <c r="A5" s="49" t="s">
        <v>619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438</v>
      </c>
      <c r="B6" s="10" t="s">
        <v>439</v>
      </c>
      <c r="C6" s="10" t="s">
        <v>440</v>
      </c>
      <c r="D6" s="10" t="str">
        <f>"1,0000"</f>
        <v>1,0000</v>
      </c>
      <c r="E6" s="10" t="s">
        <v>164</v>
      </c>
      <c r="F6" s="10" t="s">
        <v>165</v>
      </c>
      <c r="G6" s="12" t="s">
        <v>298</v>
      </c>
      <c r="H6" s="29" t="s">
        <v>630</v>
      </c>
      <c r="I6" s="10" t="str">
        <f>"630,0"</f>
        <v>630,0</v>
      </c>
      <c r="J6" s="12" t="str">
        <f>"11,3105"</f>
        <v>11,3105</v>
      </c>
      <c r="K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182</v>
      </c>
      <c r="B17" s="22"/>
    </row>
    <row r="18" spans="1:2" ht="14.25">
      <c r="A18" s="24"/>
      <c r="B18" s="25" t="s">
        <v>193</v>
      </c>
    </row>
    <row r="19" spans="1:5" ht="15">
      <c r="A19" s="26" t="s">
        <v>184</v>
      </c>
      <c r="B19" s="26" t="s">
        <v>185</v>
      </c>
      <c r="C19" s="26" t="s">
        <v>186</v>
      </c>
      <c r="D19" s="26" t="s">
        <v>187</v>
      </c>
      <c r="E19" s="26" t="s">
        <v>625</v>
      </c>
    </row>
    <row r="20" spans="1:5" ht="12.75">
      <c r="A20" s="23" t="s">
        <v>437</v>
      </c>
      <c r="B20" s="4" t="s">
        <v>193</v>
      </c>
      <c r="C20" s="4" t="s">
        <v>626</v>
      </c>
      <c r="D20" s="4" t="s">
        <v>631</v>
      </c>
      <c r="E20" s="27" t="s">
        <v>632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53" t="s">
        <v>617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618</v>
      </c>
      <c r="E3" s="48" t="s">
        <v>7</v>
      </c>
      <c r="F3" s="48" t="s">
        <v>12</v>
      </c>
      <c r="G3" s="48" t="s">
        <v>601</v>
      </c>
      <c r="H3" s="48"/>
      <c r="I3" s="48" t="s">
        <v>604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602</v>
      </c>
      <c r="H4" s="28" t="s">
        <v>603</v>
      </c>
      <c r="I4" s="47"/>
      <c r="J4" s="47"/>
      <c r="K4" s="37"/>
    </row>
    <row r="5" spans="1:10" ht="15">
      <c r="A5" s="49" t="s">
        <v>619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621</v>
      </c>
      <c r="B6" s="10" t="s">
        <v>622</v>
      </c>
      <c r="C6" s="10" t="s">
        <v>623</v>
      </c>
      <c r="D6" s="10" t="str">
        <f>"1,0000"</f>
        <v>1,0000</v>
      </c>
      <c r="E6" s="10" t="s">
        <v>297</v>
      </c>
      <c r="F6" s="10" t="s">
        <v>45</v>
      </c>
      <c r="G6" s="12" t="s">
        <v>82</v>
      </c>
      <c r="H6" s="29" t="s">
        <v>624</v>
      </c>
      <c r="I6" s="10" t="str">
        <f>"4015,0"</f>
        <v>4015,0</v>
      </c>
      <c r="J6" s="12" t="str">
        <f>"50,2503"</f>
        <v>50,2503</v>
      </c>
      <c r="K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198</v>
      </c>
      <c r="B17" s="22"/>
    </row>
    <row r="18" spans="1:2" ht="14.25">
      <c r="A18" s="24"/>
      <c r="B18" s="25" t="s">
        <v>193</v>
      </c>
    </row>
    <row r="19" spans="1:5" ht="15">
      <c r="A19" s="26" t="s">
        <v>184</v>
      </c>
      <c r="B19" s="26" t="s">
        <v>185</v>
      </c>
      <c r="C19" s="26" t="s">
        <v>186</v>
      </c>
      <c r="D19" s="26" t="s">
        <v>187</v>
      </c>
      <c r="E19" s="26" t="s">
        <v>625</v>
      </c>
    </row>
    <row r="20" spans="1:5" ht="12.75">
      <c r="A20" s="23" t="s">
        <v>620</v>
      </c>
      <c r="B20" s="4" t="s">
        <v>193</v>
      </c>
      <c r="C20" s="4" t="s">
        <v>626</v>
      </c>
      <c r="D20" s="4" t="s">
        <v>627</v>
      </c>
      <c r="E20" s="27" t="s">
        <v>628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9.875" style="4" bestFit="1" customWidth="1"/>
    <col min="7" max="7" width="4.625" style="3" bestFit="1" customWidth="1"/>
    <col min="8" max="8" width="4.625" style="32" bestFit="1" customWidth="1"/>
    <col min="9" max="9" width="7.875" style="4" bestFit="1" customWidth="1"/>
    <col min="10" max="10" width="9.625" style="3" bestFit="1" customWidth="1"/>
    <col min="11" max="11" width="11.625" style="4" bestFit="1" customWidth="1"/>
    <col min="12" max="16384" width="9.125" style="3" customWidth="1"/>
  </cols>
  <sheetData>
    <row r="1" spans="1:11" s="2" customFormat="1" ht="28.5" customHeight="1">
      <c r="A1" s="53" t="s">
        <v>605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580</v>
      </c>
      <c r="E3" s="48" t="s">
        <v>7</v>
      </c>
      <c r="F3" s="48" t="s">
        <v>12</v>
      </c>
      <c r="G3" s="48" t="s">
        <v>601</v>
      </c>
      <c r="H3" s="48"/>
      <c r="I3" s="48" t="s">
        <v>604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602</v>
      </c>
      <c r="H4" s="28" t="s">
        <v>603</v>
      </c>
      <c r="I4" s="47"/>
      <c r="J4" s="47"/>
      <c r="K4" s="37"/>
    </row>
    <row r="5" spans="1:10" ht="15">
      <c r="A5" s="49" t="s">
        <v>436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606</v>
      </c>
      <c r="B6" s="10" t="s">
        <v>541</v>
      </c>
      <c r="C6" s="10" t="s">
        <v>542</v>
      </c>
      <c r="D6" s="10" t="str">
        <f>"0,9419"</f>
        <v>0,9419</v>
      </c>
      <c r="E6" s="10" t="s">
        <v>56</v>
      </c>
      <c r="F6" s="10" t="s">
        <v>45</v>
      </c>
      <c r="G6" s="12" t="s">
        <v>607</v>
      </c>
      <c r="H6" s="29" t="s">
        <v>46</v>
      </c>
      <c r="I6" s="10" t="str">
        <f>"1375,0"</f>
        <v>1375,0</v>
      </c>
      <c r="J6" s="12" t="str">
        <f>"1295,1125"</f>
        <v>1295,1125</v>
      </c>
      <c r="K6" s="10" t="s">
        <v>64</v>
      </c>
    </row>
    <row r="8" spans="1:10" ht="15">
      <c r="A8" s="51" t="s">
        <v>51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2.75">
      <c r="A9" s="10" t="s">
        <v>609</v>
      </c>
      <c r="B9" s="10" t="s">
        <v>610</v>
      </c>
      <c r="C9" s="10" t="s">
        <v>448</v>
      </c>
      <c r="D9" s="10" t="str">
        <f>"0,8885"</f>
        <v>0,8885</v>
      </c>
      <c r="E9" s="10" t="s">
        <v>56</v>
      </c>
      <c r="F9" s="10" t="s">
        <v>45</v>
      </c>
      <c r="G9" s="12" t="s">
        <v>611</v>
      </c>
      <c r="H9" s="29" t="s">
        <v>612</v>
      </c>
      <c r="I9" s="10" t="str">
        <f>"1332,5"</f>
        <v>1332,5</v>
      </c>
      <c r="J9" s="12" t="str">
        <f>"1183,9262"</f>
        <v>1183,9262</v>
      </c>
      <c r="K9" s="10" t="s">
        <v>39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22" t="s">
        <v>182</v>
      </c>
      <c r="B20" s="22"/>
    </row>
    <row r="21" spans="1:2" ht="14.25">
      <c r="A21" s="24"/>
      <c r="B21" s="25" t="s">
        <v>183</v>
      </c>
    </row>
    <row r="22" spans="1:5" ht="15">
      <c r="A22" s="26" t="s">
        <v>184</v>
      </c>
      <c r="B22" s="26" t="s">
        <v>185</v>
      </c>
      <c r="C22" s="26" t="s">
        <v>186</v>
      </c>
      <c r="D22" s="26" t="s">
        <v>187</v>
      </c>
      <c r="E22" s="26" t="s">
        <v>592</v>
      </c>
    </row>
    <row r="23" spans="1:5" ht="12.75">
      <c r="A23" s="23" t="s">
        <v>539</v>
      </c>
      <c r="B23" s="4" t="s">
        <v>189</v>
      </c>
      <c r="C23" s="4" t="s">
        <v>502</v>
      </c>
      <c r="D23" s="4" t="s">
        <v>613</v>
      </c>
      <c r="E23" s="27" t="s">
        <v>614</v>
      </c>
    </row>
    <row r="24" spans="1:5" ht="12.75">
      <c r="A24" s="23" t="s">
        <v>608</v>
      </c>
      <c r="B24" s="4" t="s">
        <v>203</v>
      </c>
      <c r="C24" s="4" t="s">
        <v>190</v>
      </c>
      <c r="D24" s="4" t="s">
        <v>615</v>
      </c>
      <c r="E24" s="27" t="s">
        <v>616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8.25390625" style="4" bestFit="1" customWidth="1"/>
    <col min="7" max="7" width="5.625" style="3" bestFit="1" customWidth="1"/>
    <col min="8" max="8" width="4.625" style="32" bestFit="1" customWidth="1"/>
    <col min="9" max="9" width="7.875" style="4" bestFit="1" customWidth="1"/>
    <col min="10" max="10" width="9.625" style="3" bestFit="1" customWidth="1"/>
    <col min="11" max="11" width="12.125" style="4" bestFit="1" customWidth="1"/>
    <col min="12" max="16384" width="9.125" style="3" customWidth="1"/>
  </cols>
  <sheetData>
    <row r="1" spans="1:11" s="2" customFormat="1" ht="28.5" customHeight="1">
      <c r="A1" s="53" t="s">
        <v>579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10</v>
      </c>
      <c r="C3" s="46" t="s">
        <v>11</v>
      </c>
      <c r="D3" s="48" t="s">
        <v>580</v>
      </c>
      <c r="E3" s="48" t="s">
        <v>7</v>
      </c>
      <c r="F3" s="48" t="s">
        <v>12</v>
      </c>
      <c r="G3" s="48" t="s">
        <v>601</v>
      </c>
      <c r="H3" s="48"/>
      <c r="I3" s="48" t="s">
        <v>604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7" t="s">
        <v>602</v>
      </c>
      <c r="H4" s="28" t="s">
        <v>603</v>
      </c>
      <c r="I4" s="47"/>
      <c r="J4" s="47"/>
      <c r="K4" s="37"/>
    </row>
    <row r="5" spans="1:10" ht="15">
      <c r="A5" s="49" t="s">
        <v>111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2.75">
      <c r="A6" s="10" t="s">
        <v>582</v>
      </c>
      <c r="B6" s="10" t="s">
        <v>583</v>
      </c>
      <c r="C6" s="10" t="s">
        <v>584</v>
      </c>
      <c r="D6" s="10" t="str">
        <f>"0,7969"</f>
        <v>0,7969</v>
      </c>
      <c r="E6" s="10" t="s">
        <v>29</v>
      </c>
      <c r="F6" s="10" t="s">
        <v>45</v>
      </c>
      <c r="G6" s="12" t="s">
        <v>33</v>
      </c>
      <c r="H6" s="29" t="s">
        <v>585</v>
      </c>
      <c r="I6" s="10" t="str">
        <f>"1680,0"</f>
        <v>1680,0</v>
      </c>
      <c r="J6" s="12" t="str">
        <f>"1338,7920"</f>
        <v>1338,7920</v>
      </c>
      <c r="K6" s="10" t="s">
        <v>39</v>
      </c>
    </row>
    <row r="8" spans="1:10" ht="15">
      <c r="A8" s="51" t="s">
        <v>124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2.75">
      <c r="A9" s="10" t="s">
        <v>339</v>
      </c>
      <c r="B9" s="10" t="s">
        <v>340</v>
      </c>
      <c r="C9" s="10" t="s">
        <v>341</v>
      </c>
      <c r="D9" s="10" t="str">
        <f>"0,7242"</f>
        <v>0,7242</v>
      </c>
      <c r="E9" s="10" t="s">
        <v>29</v>
      </c>
      <c r="F9" s="10" t="s">
        <v>342</v>
      </c>
      <c r="G9" s="12" t="s">
        <v>83</v>
      </c>
      <c r="H9" s="29" t="s">
        <v>586</v>
      </c>
      <c r="I9" s="10" t="str">
        <f>"2070,0"</f>
        <v>2070,0</v>
      </c>
      <c r="J9" s="12" t="str">
        <f>"1499,0940"</f>
        <v>1499,0940</v>
      </c>
      <c r="K9" s="10" t="s">
        <v>39</v>
      </c>
    </row>
    <row r="11" spans="1:10" ht="15">
      <c r="A11" s="51" t="s">
        <v>141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12.75">
      <c r="A12" s="13" t="s">
        <v>351</v>
      </c>
      <c r="B12" s="13" t="s">
        <v>352</v>
      </c>
      <c r="C12" s="13" t="s">
        <v>353</v>
      </c>
      <c r="D12" s="13" t="str">
        <f>"0,6665"</f>
        <v>0,6665</v>
      </c>
      <c r="E12" s="13" t="s">
        <v>29</v>
      </c>
      <c r="F12" s="13" t="s">
        <v>45</v>
      </c>
      <c r="G12" s="14" t="s">
        <v>48</v>
      </c>
      <c r="H12" s="30" t="s">
        <v>587</v>
      </c>
      <c r="I12" s="13" t="str">
        <f>"2500,0"</f>
        <v>2500,0</v>
      </c>
      <c r="J12" s="14" t="str">
        <f>"1666,2499"</f>
        <v>1666,2499</v>
      </c>
      <c r="K12" s="13" t="s">
        <v>354</v>
      </c>
    </row>
    <row r="13" spans="1:11" ht="12.75">
      <c r="A13" s="16" t="s">
        <v>589</v>
      </c>
      <c r="B13" s="16" t="s">
        <v>590</v>
      </c>
      <c r="C13" s="16" t="s">
        <v>591</v>
      </c>
      <c r="D13" s="16" t="str">
        <f>"0,7155"</f>
        <v>0,7155</v>
      </c>
      <c r="E13" s="16" t="s">
        <v>29</v>
      </c>
      <c r="F13" s="16" t="s">
        <v>45</v>
      </c>
      <c r="G13" s="18" t="s">
        <v>97</v>
      </c>
      <c r="H13" s="31" t="s">
        <v>585</v>
      </c>
      <c r="I13" s="16" t="str">
        <f>"1942,5"</f>
        <v>1942,5</v>
      </c>
      <c r="J13" s="18" t="str">
        <f>"1389,8587"</f>
        <v>1389,8587</v>
      </c>
      <c r="K13" s="16" t="s">
        <v>39</v>
      </c>
    </row>
    <row r="15" ht="15">
      <c r="E15" s="8" t="s">
        <v>13</v>
      </c>
    </row>
    <row r="16" ht="15">
      <c r="E16" s="8" t="s">
        <v>14</v>
      </c>
    </row>
    <row r="17" ht="15">
      <c r="E17" s="8" t="s">
        <v>15</v>
      </c>
    </row>
    <row r="18" ht="15">
      <c r="E18" s="8" t="s">
        <v>16</v>
      </c>
    </row>
    <row r="19" ht="15">
      <c r="E19" s="8" t="s">
        <v>16</v>
      </c>
    </row>
    <row r="20" ht="15">
      <c r="E20" s="8" t="s">
        <v>17</v>
      </c>
    </row>
    <row r="21" ht="15">
      <c r="E21" s="8"/>
    </row>
    <row r="23" spans="1:2" ht="18">
      <c r="A23" s="9" t="s">
        <v>18</v>
      </c>
      <c r="B23" s="9"/>
    </row>
    <row r="24" spans="1:2" ht="15">
      <c r="A24" s="22" t="s">
        <v>198</v>
      </c>
      <c r="B24" s="22"/>
    </row>
    <row r="25" spans="1:2" ht="14.25">
      <c r="A25" s="24"/>
      <c r="B25" s="25" t="s">
        <v>193</v>
      </c>
    </row>
    <row r="26" spans="1:5" ht="15">
      <c r="A26" s="26" t="s">
        <v>184</v>
      </c>
      <c r="B26" s="26" t="s">
        <v>185</v>
      </c>
      <c r="C26" s="26" t="s">
        <v>186</v>
      </c>
      <c r="D26" s="26" t="s">
        <v>187</v>
      </c>
      <c r="E26" s="26" t="s">
        <v>592</v>
      </c>
    </row>
    <row r="27" spans="1:5" ht="12.75">
      <c r="A27" s="23" t="s">
        <v>350</v>
      </c>
      <c r="B27" s="4" t="s">
        <v>193</v>
      </c>
      <c r="C27" s="4" t="s">
        <v>200</v>
      </c>
      <c r="D27" s="4" t="s">
        <v>593</v>
      </c>
      <c r="E27" s="27" t="s">
        <v>594</v>
      </c>
    </row>
    <row r="28" spans="1:5" ht="12.75">
      <c r="A28" s="23" t="s">
        <v>338</v>
      </c>
      <c r="B28" s="4" t="s">
        <v>193</v>
      </c>
      <c r="C28" s="4" t="s">
        <v>204</v>
      </c>
      <c r="D28" s="4" t="s">
        <v>595</v>
      </c>
      <c r="E28" s="27" t="s">
        <v>596</v>
      </c>
    </row>
    <row r="29" spans="1:5" ht="12.75">
      <c r="A29" s="23" t="s">
        <v>588</v>
      </c>
      <c r="B29" s="4" t="s">
        <v>193</v>
      </c>
      <c r="C29" s="4" t="s">
        <v>200</v>
      </c>
      <c r="D29" s="4" t="s">
        <v>597</v>
      </c>
      <c r="E29" s="27" t="s">
        <v>598</v>
      </c>
    </row>
    <row r="30" spans="1:5" ht="12.75">
      <c r="A30" s="23" t="s">
        <v>581</v>
      </c>
      <c r="B30" s="4" t="s">
        <v>193</v>
      </c>
      <c r="C30" s="4" t="s">
        <v>229</v>
      </c>
      <c r="D30" s="4" t="s">
        <v>599</v>
      </c>
      <c r="E30" s="27" t="s">
        <v>600</v>
      </c>
    </row>
  </sheetData>
  <sheetProtection/>
  <mergeCells count="14"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5.75390625" style="4" bestFit="1" customWidth="1"/>
    <col min="18" max="16384" width="9.125" style="3" customWidth="1"/>
  </cols>
  <sheetData>
    <row r="1" spans="1:17" s="2" customFormat="1" ht="28.5" customHeight="1">
      <c r="A1" s="53" t="s">
        <v>533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22</v>
      </c>
      <c r="H3" s="48"/>
      <c r="I3" s="48"/>
      <c r="J3" s="48"/>
      <c r="K3" s="48" t="s">
        <v>23</v>
      </c>
      <c r="L3" s="48"/>
      <c r="M3" s="48"/>
      <c r="N3" s="48"/>
      <c r="O3" s="48" t="s">
        <v>4</v>
      </c>
      <c r="P3" s="48" t="s">
        <v>6</v>
      </c>
      <c r="Q3" s="36" t="s">
        <v>5</v>
      </c>
    </row>
    <row r="4" spans="1:17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47"/>
      <c r="P4" s="47"/>
      <c r="Q4" s="37"/>
    </row>
    <row r="5" spans="1:16" ht="15">
      <c r="A5" s="49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ht="12.75">
      <c r="A6" s="10" t="s">
        <v>535</v>
      </c>
      <c r="B6" s="10" t="s">
        <v>536</v>
      </c>
      <c r="C6" s="10" t="s">
        <v>537</v>
      </c>
      <c r="D6" s="10" t="str">
        <f>"1,0090"</f>
        <v>1,0090</v>
      </c>
      <c r="E6" s="10" t="s">
        <v>297</v>
      </c>
      <c r="F6" s="10" t="s">
        <v>45</v>
      </c>
      <c r="G6" s="12" t="s">
        <v>35</v>
      </c>
      <c r="H6" s="12" t="s">
        <v>36</v>
      </c>
      <c r="I6" s="11" t="s">
        <v>538</v>
      </c>
      <c r="J6" s="11"/>
      <c r="K6" s="12" t="s">
        <v>33</v>
      </c>
      <c r="L6" s="12" t="s">
        <v>129</v>
      </c>
      <c r="M6" s="11" t="s">
        <v>83</v>
      </c>
      <c r="N6" s="11"/>
      <c r="O6" s="10" t="str">
        <f>"130,0"</f>
        <v>130,0</v>
      </c>
      <c r="P6" s="12" t="str">
        <f>"131,1700"</f>
        <v>131,1700</v>
      </c>
      <c r="Q6" s="10" t="s">
        <v>181</v>
      </c>
    </row>
    <row r="8" spans="1:16" ht="15">
      <c r="A8" s="51" t="s">
        <v>436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 ht="12.75">
      <c r="A9" s="10" t="s">
        <v>540</v>
      </c>
      <c r="B9" s="10" t="s">
        <v>541</v>
      </c>
      <c r="C9" s="10" t="s">
        <v>542</v>
      </c>
      <c r="D9" s="10" t="str">
        <f>"0,9326"</f>
        <v>0,9326</v>
      </c>
      <c r="E9" s="10" t="s">
        <v>56</v>
      </c>
      <c r="F9" s="10" t="s">
        <v>45</v>
      </c>
      <c r="G9" s="11" t="s">
        <v>75</v>
      </c>
      <c r="H9" s="11"/>
      <c r="I9" s="11"/>
      <c r="J9" s="11"/>
      <c r="K9" s="11" t="s">
        <v>70</v>
      </c>
      <c r="L9" s="11"/>
      <c r="M9" s="11"/>
      <c r="N9" s="11"/>
      <c r="O9" s="10" t="str">
        <f>"0.00"</f>
        <v>0.00</v>
      </c>
      <c r="P9" s="12" t="str">
        <f>"0,0000"</f>
        <v>0,0000</v>
      </c>
      <c r="Q9" s="10" t="s">
        <v>64</v>
      </c>
    </row>
    <row r="11" spans="1:16" ht="15">
      <c r="A11" s="51" t="s">
        <v>76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7" ht="12.75">
      <c r="A12" s="10" t="s">
        <v>544</v>
      </c>
      <c r="B12" s="10" t="s">
        <v>545</v>
      </c>
      <c r="C12" s="10" t="s">
        <v>546</v>
      </c>
      <c r="D12" s="10" t="str">
        <f>"0,8831"</f>
        <v>0,8831</v>
      </c>
      <c r="E12" s="10" t="s">
        <v>29</v>
      </c>
      <c r="F12" s="10" t="s">
        <v>45</v>
      </c>
      <c r="G12" s="11" t="s">
        <v>70</v>
      </c>
      <c r="H12" s="12" t="s">
        <v>70</v>
      </c>
      <c r="I12" s="12" t="s">
        <v>547</v>
      </c>
      <c r="J12" s="11"/>
      <c r="K12" s="12" t="s">
        <v>108</v>
      </c>
      <c r="L12" s="12" t="s">
        <v>57</v>
      </c>
      <c r="M12" s="11" t="s">
        <v>49</v>
      </c>
      <c r="N12" s="11"/>
      <c r="O12" s="10" t="str">
        <f>"172,5"</f>
        <v>172,5</v>
      </c>
      <c r="P12" s="12" t="str">
        <f>"152,3434"</f>
        <v>152,3434</v>
      </c>
      <c r="Q12" s="10" t="s">
        <v>39</v>
      </c>
    </row>
    <row r="14" spans="1:16" ht="15">
      <c r="A14" s="51" t="s">
        <v>92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7" ht="12.75">
      <c r="A15" s="13" t="s">
        <v>459</v>
      </c>
      <c r="B15" s="13" t="s">
        <v>460</v>
      </c>
      <c r="C15" s="13" t="s">
        <v>461</v>
      </c>
      <c r="D15" s="13" t="str">
        <f>"0,6694"</f>
        <v>0,6694</v>
      </c>
      <c r="E15" s="13" t="s">
        <v>29</v>
      </c>
      <c r="F15" s="13" t="s">
        <v>120</v>
      </c>
      <c r="G15" s="14" t="s">
        <v>548</v>
      </c>
      <c r="H15" s="14" t="s">
        <v>108</v>
      </c>
      <c r="I15" s="15" t="s">
        <v>49</v>
      </c>
      <c r="J15" s="15"/>
      <c r="K15" s="14" t="s">
        <v>121</v>
      </c>
      <c r="L15" s="14" t="s">
        <v>122</v>
      </c>
      <c r="M15" s="14" t="s">
        <v>462</v>
      </c>
      <c r="N15" s="15"/>
      <c r="O15" s="13" t="str">
        <f>"297,5"</f>
        <v>297,5</v>
      </c>
      <c r="P15" s="14" t="str">
        <f>"199,1465"</f>
        <v>199,1465</v>
      </c>
      <c r="Q15" s="13" t="s">
        <v>39</v>
      </c>
    </row>
    <row r="16" spans="1:17" ht="12.75">
      <c r="A16" s="16" t="s">
        <v>550</v>
      </c>
      <c r="B16" s="16" t="s">
        <v>551</v>
      </c>
      <c r="C16" s="16" t="s">
        <v>552</v>
      </c>
      <c r="D16" s="16" t="str">
        <f>"0,7110"</f>
        <v>0,7110</v>
      </c>
      <c r="E16" s="16" t="s">
        <v>29</v>
      </c>
      <c r="F16" s="16" t="s">
        <v>45</v>
      </c>
      <c r="G16" s="18" t="s">
        <v>48</v>
      </c>
      <c r="H16" s="18" t="s">
        <v>108</v>
      </c>
      <c r="I16" s="18" t="s">
        <v>553</v>
      </c>
      <c r="J16" s="17"/>
      <c r="K16" s="18" t="s">
        <v>146</v>
      </c>
      <c r="L16" s="18" t="s">
        <v>554</v>
      </c>
      <c r="M16" s="18" t="s">
        <v>555</v>
      </c>
      <c r="N16" s="17"/>
      <c r="O16" s="16" t="str">
        <f>"285,0"</f>
        <v>285,0</v>
      </c>
      <c r="P16" s="18" t="str">
        <f>"202,6350"</f>
        <v>202,6350</v>
      </c>
      <c r="Q16" s="16" t="s">
        <v>39</v>
      </c>
    </row>
    <row r="18" spans="1:16" ht="15">
      <c r="A18" s="51" t="s">
        <v>111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7" ht="12.75">
      <c r="A19" s="13" t="s">
        <v>117</v>
      </c>
      <c r="B19" s="13" t="s">
        <v>118</v>
      </c>
      <c r="C19" s="13" t="s">
        <v>119</v>
      </c>
      <c r="D19" s="13" t="str">
        <f>"0,6301"</f>
        <v>0,6301</v>
      </c>
      <c r="E19" s="13" t="s">
        <v>29</v>
      </c>
      <c r="F19" s="13" t="s">
        <v>120</v>
      </c>
      <c r="G19" s="14" t="s">
        <v>57</v>
      </c>
      <c r="H19" s="14" t="s">
        <v>59</v>
      </c>
      <c r="I19" s="14" t="s">
        <v>63</v>
      </c>
      <c r="J19" s="15"/>
      <c r="K19" s="14" t="s">
        <v>121</v>
      </c>
      <c r="L19" s="14" t="s">
        <v>122</v>
      </c>
      <c r="M19" s="14" t="s">
        <v>123</v>
      </c>
      <c r="N19" s="15"/>
      <c r="O19" s="13" t="str">
        <f>"310,0"</f>
        <v>310,0</v>
      </c>
      <c r="P19" s="14" t="str">
        <f>"195,3310"</f>
        <v>195,3310</v>
      </c>
      <c r="Q19" s="13" t="s">
        <v>39</v>
      </c>
    </row>
    <row r="20" spans="1:17" ht="12.75">
      <c r="A20" s="19" t="s">
        <v>556</v>
      </c>
      <c r="B20" s="19" t="s">
        <v>465</v>
      </c>
      <c r="C20" s="19" t="s">
        <v>466</v>
      </c>
      <c r="D20" s="19" t="str">
        <f>"0,6230"</f>
        <v>0,6230</v>
      </c>
      <c r="E20" s="19" t="s">
        <v>29</v>
      </c>
      <c r="F20" s="19" t="s">
        <v>467</v>
      </c>
      <c r="G20" s="21" t="s">
        <v>48</v>
      </c>
      <c r="H20" s="21" t="s">
        <v>108</v>
      </c>
      <c r="I20" s="21" t="s">
        <v>553</v>
      </c>
      <c r="J20" s="20"/>
      <c r="K20" s="21" t="s">
        <v>122</v>
      </c>
      <c r="L20" s="21" t="s">
        <v>218</v>
      </c>
      <c r="M20" s="20" t="s">
        <v>155</v>
      </c>
      <c r="N20" s="20"/>
      <c r="O20" s="19" t="str">
        <f>"295,0"</f>
        <v>295,0</v>
      </c>
      <c r="P20" s="21" t="str">
        <f>"183,7850"</f>
        <v>183,7850</v>
      </c>
      <c r="Q20" s="19" t="s">
        <v>39</v>
      </c>
    </row>
    <row r="21" spans="1:17" ht="12.75">
      <c r="A21" s="16" t="s">
        <v>557</v>
      </c>
      <c r="B21" s="16" t="s">
        <v>470</v>
      </c>
      <c r="C21" s="16" t="s">
        <v>471</v>
      </c>
      <c r="D21" s="16" t="str">
        <f>"0,6347"</f>
        <v>0,6347</v>
      </c>
      <c r="E21" s="16" t="s">
        <v>29</v>
      </c>
      <c r="F21" s="16" t="s">
        <v>467</v>
      </c>
      <c r="G21" s="18" t="s">
        <v>48</v>
      </c>
      <c r="H21" s="17" t="s">
        <v>108</v>
      </c>
      <c r="I21" s="18" t="s">
        <v>108</v>
      </c>
      <c r="J21" s="17"/>
      <c r="K21" s="18" t="s">
        <v>91</v>
      </c>
      <c r="L21" s="17" t="s">
        <v>121</v>
      </c>
      <c r="M21" s="18" t="s">
        <v>121</v>
      </c>
      <c r="N21" s="17"/>
      <c r="O21" s="16" t="str">
        <f>"275,0"</f>
        <v>275,0</v>
      </c>
      <c r="P21" s="18" t="str">
        <f>"174,5425"</f>
        <v>174,5425</v>
      </c>
      <c r="Q21" s="16" t="s">
        <v>39</v>
      </c>
    </row>
    <row r="23" spans="1:16" ht="15">
      <c r="A23" s="51" t="s">
        <v>141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7" ht="12.75">
      <c r="A24" s="10" t="s">
        <v>559</v>
      </c>
      <c r="B24" s="10" t="s">
        <v>560</v>
      </c>
      <c r="C24" s="10" t="s">
        <v>561</v>
      </c>
      <c r="D24" s="10" t="str">
        <f>"0,5675"</f>
        <v>0,5675</v>
      </c>
      <c r="E24" s="10" t="s">
        <v>56</v>
      </c>
      <c r="F24" s="10" t="s">
        <v>45</v>
      </c>
      <c r="G24" s="12" t="s">
        <v>130</v>
      </c>
      <c r="H24" s="12" t="s">
        <v>89</v>
      </c>
      <c r="I24" s="11" t="s">
        <v>109</v>
      </c>
      <c r="J24" s="11"/>
      <c r="K24" s="12" t="s">
        <v>173</v>
      </c>
      <c r="L24" s="12" t="s">
        <v>174</v>
      </c>
      <c r="M24" s="12" t="s">
        <v>497</v>
      </c>
      <c r="N24" s="11"/>
      <c r="O24" s="10" t="str">
        <f>"385,0"</f>
        <v>385,0</v>
      </c>
      <c r="P24" s="12" t="str">
        <f>"218,4875"</f>
        <v>218,4875</v>
      </c>
      <c r="Q24" s="10" t="s">
        <v>39</v>
      </c>
    </row>
    <row r="26" spans="1:16" ht="15">
      <c r="A26" s="51" t="s">
        <v>168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7" ht="12.75">
      <c r="A27" s="10" t="s">
        <v>563</v>
      </c>
      <c r="B27" s="10" t="s">
        <v>564</v>
      </c>
      <c r="C27" s="10" t="s">
        <v>179</v>
      </c>
      <c r="D27" s="10" t="str">
        <f>"0,5405"</f>
        <v>0,5405</v>
      </c>
      <c r="E27" s="10" t="s">
        <v>29</v>
      </c>
      <c r="F27" s="10" t="s">
        <v>45</v>
      </c>
      <c r="G27" s="12" t="s">
        <v>83</v>
      </c>
      <c r="H27" s="12" t="s">
        <v>98</v>
      </c>
      <c r="I27" s="11"/>
      <c r="J27" s="11"/>
      <c r="K27" s="12" t="s">
        <v>115</v>
      </c>
      <c r="L27" s="12" t="s">
        <v>110</v>
      </c>
      <c r="M27" s="12" t="s">
        <v>565</v>
      </c>
      <c r="N27" s="11"/>
      <c r="O27" s="10" t="str">
        <f>"262,5"</f>
        <v>262,5</v>
      </c>
      <c r="P27" s="12" t="str">
        <f>"141,8812"</f>
        <v>141,8812</v>
      </c>
      <c r="Q27" s="10" t="s">
        <v>39</v>
      </c>
    </row>
    <row r="29" ht="15">
      <c r="E29" s="8" t="s">
        <v>13</v>
      </c>
    </row>
    <row r="30" ht="15">
      <c r="E30" s="8" t="s">
        <v>14</v>
      </c>
    </row>
    <row r="31" ht="15">
      <c r="E31" s="8" t="s">
        <v>15</v>
      </c>
    </row>
    <row r="32" ht="15">
      <c r="E32" s="8" t="s">
        <v>16</v>
      </c>
    </row>
    <row r="33" ht="15">
      <c r="E33" s="8" t="s">
        <v>16</v>
      </c>
    </row>
    <row r="34" ht="15">
      <c r="E34" s="8" t="s">
        <v>17</v>
      </c>
    </row>
    <row r="35" ht="15">
      <c r="E35" s="8"/>
    </row>
    <row r="37" spans="1:2" ht="18">
      <c r="A37" s="9" t="s">
        <v>18</v>
      </c>
      <c r="B37" s="9"/>
    </row>
    <row r="38" spans="1:2" ht="15">
      <c r="A38" s="22" t="s">
        <v>182</v>
      </c>
      <c r="B38" s="22"/>
    </row>
    <row r="39" spans="1:2" ht="14.25">
      <c r="A39" s="24"/>
      <c r="B39" s="25" t="s">
        <v>193</v>
      </c>
    </row>
    <row r="40" spans="1:5" ht="15">
      <c r="A40" s="26" t="s">
        <v>184</v>
      </c>
      <c r="B40" s="26" t="s">
        <v>185</v>
      </c>
      <c r="C40" s="26" t="s">
        <v>186</v>
      </c>
      <c r="D40" s="26" t="s">
        <v>187</v>
      </c>
      <c r="E40" s="26" t="s">
        <v>188</v>
      </c>
    </row>
    <row r="41" spans="1:5" ht="12.75">
      <c r="A41" s="23" t="s">
        <v>543</v>
      </c>
      <c r="B41" s="4" t="s">
        <v>193</v>
      </c>
      <c r="C41" s="4" t="s">
        <v>213</v>
      </c>
      <c r="D41" s="4" t="s">
        <v>554</v>
      </c>
      <c r="E41" s="27" t="s">
        <v>566</v>
      </c>
    </row>
    <row r="42" spans="1:5" ht="12.75">
      <c r="A42" s="23" t="s">
        <v>534</v>
      </c>
      <c r="B42" s="4" t="s">
        <v>193</v>
      </c>
      <c r="C42" s="4" t="s">
        <v>194</v>
      </c>
      <c r="D42" s="4" t="s">
        <v>130</v>
      </c>
      <c r="E42" s="27" t="s">
        <v>567</v>
      </c>
    </row>
    <row r="45" spans="1:2" ht="15">
      <c r="A45" s="22" t="s">
        <v>198</v>
      </c>
      <c r="B45" s="22"/>
    </row>
    <row r="46" spans="1:2" ht="14.25">
      <c r="A46" s="24"/>
      <c r="B46" s="25" t="s">
        <v>220</v>
      </c>
    </row>
    <row r="47" spans="1:5" ht="15">
      <c r="A47" s="26" t="s">
        <v>184</v>
      </c>
      <c r="B47" s="26" t="s">
        <v>185</v>
      </c>
      <c r="C47" s="26" t="s">
        <v>186</v>
      </c>
      <c r="D47" s="26" t="s">
        <v>187</v>
      </c>
      <c r="E47" s="26" t="s">
        <v>188</v>
      </c>
    </row>
    <row r="48" spans="1:5" ht="12.75">
      <c r="A48" s="23" t="s">
        <v>458</v>
      </c>
      <c r="B48" s="4" t="s">
        <v>221</v>
      </c>
      <c r="C48" s="4" t="s">
        <v>210</v>
      </c>
      <c r="D48" s="4" t="s">
        <v>568</v>
      </c>
      <c r="E48" s="27" t="s">
        <v>569</v>
      </c>
    </row>
    <row r="50" spans="1:2" ht="14.25">
      <c r="A50" s="24"/>
      <c r="B50" s="25" t="s">
        <v>193</v>
      </c>
    </row>
    <row r="51" spans="1:5" ht="15">
      <c r="A51" s="26" t="s">
        <v>184</v>
      </c>
      <c r="B51" s="26" t="s">
        <v>185</v>
      </c>
      <c r="C51" s="26" t="s">
        <v>186</v>
      </c>
      <c r="D51" s="26" t="s">
        <v>187</v>
      </c>
      <c r="E51" s="26" t="s">
        <v>188</v>
      </c>
    </row>
    <row r="52" spans="1:5" ht="12.75">
      <c r="A52" s="23" t="s">
        <v>558</v>
      </c>
      <c r="B52" s="4" t="s">
        <v>193</v>
      </c>
      <c r="C52" s="4" t="s">
        <v>200</v>
      </c>
      <c r="D52" s="4" t="s">
        <v>570</v>
      </c>
      <c r="E52" s="27" t="s">
        <v>571</v>
      </c>
    </row>
    <row r="53" spans="1:5" ht="12.75">
      <c r="A53" s="23" t="s">
        <v>549</v>
      </c>
      <c r="B53" s="4" t="s">
        <v>193</v>
      </c>
      <c r="C53" s="4" t="s">
        <v>210</v>
      </c>
      <c r="D53" s="4" t="s">
        <v>572</v>
      </c>
      <c r="E53" s="27" t="s">
        <v>573</v>
      </c>
    </row>
    <row r="54" spans="1:5" ht="12.75">
      <c r="A54" s="23" t="s">
        <v>116</v>
      </c>
      <c r="B54" s="4" t="s">
        <v>193</v>
      </c>
      <c r="C54" s="4" t="s">
        <v>229</v>
      </c>
      <c r="D54" s="4" t="s">
        <v>191</v>
      </c>
      <c r="E54" s="27" t="s">
        <v>574</v>
      </c>
    </row>
    <row r="55" spans="1:5" ht="12.75">
      <c r="A55" s="23" t="s">
        <v>463</v>
      </c>
      <c r="B55" s="4" t="s">
        <v>193</v>
      </c>
      <c r="C55" s="4" t="s">
        <v>229</v>
      </c>
      <c r="D55" s="4" t="s">
        <v>270</v>
      </c>
      <c r="E55" s="27" t="s">
        <v>575</v>
      </c>
    </row>
    <row r="56" spans="1:5" ht="12.75">
      <c r="A56" s="23" t="s">
        <v>468</v>
      </c>
      <c r="B56" s="4" t="s">
        <v>193</v>
      </c>
      <c r="C56" s="4" t="s">
        <v>229</v>
      </c>
      <c r="D56" s="4" t="s">
        <v>576</v>
      </c>
      <c r="E56" s="27" t="s">
        <v>577</v>
      </c>
    </row>
    <row r="58" spans="1:2" ht="14.25">
      <c r="A58" s="24"/>
      <c r="B58" s="25" t="s">
        <v>236</v>
      </c>
    </row>
    <row r="59" spans="1:5" ht="15">
      <c r="A59" s="26" t="s">
        <v>184</v>
      </c>
      <c r="B59" s="26" t="s">
        <v>185</v>
      </c>
      <c r="C59" s="26" t="s">
        <v>186</v>
      </c>
      <c r="D59" s="26" t="s">
        <v>187</v>
      </c>
      <c r="E59" s="26" t="s">
        <v>188</v>
      </c>
    </row>
    <row r="60" spans="1:5" ht="12.75">
      <c r="A60" s="23" t="s">
        <v>562</v>
      </c>
      <c r="B60" s="4" t="s">
        <v>237</v>
      </c>
      <c r="C60" s="4" t="s">
        <v>224</v>
      </c>
      <c r="D60" s="4" t="s">
        <v>484</v>
      </c>
      <c r="E60" s="27" t="s">
        <v>578</v>
      </c>
    </row>
  </sheetData>
  <sheetProtection/>
  <mergeCells count="19">
    <mergeCell ref="A14:P14"/>
    <mergeCell ref="A18:P18"/>
    <mergeCell ref="A23:P23"/>
    <mergeCell ref="A26:P26"/>
    <mergeCell ref="O3:O4"/>
    <mergeCell ref="P3:P4"/>
    <mergeCell ref="Q3:Q4"/>
    <mergeCell ref="A5:P5"/>
    <mergeCell ref="A8:P8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527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141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529</v>
      </c>
      <c r="B6" s="10" t="s">
        <v>530</v>
      </c>
      <c r="C6" s="10" t="s">
        <v>531</v>
      </c>
      <c r="D6" s="10" t="str">
        <f>"0,5550"</f>
        <v>0,5550</v>
      </c>
      <c r="E6" s="10" t="s">
        <v>29</v>
      </c>
      <c r="F6" s="10" t="s">
        <v>45</v>
      </c>
      <c r="G6" s="11" t="s">
        <v>147</v>
      </c>
      <c r="H6" s="12" t="s">
        <v>147</v>
      </c>
      <c r="I6" s="11" t="s">
        <v>148</v>
      </c>
      <c r="J6" s="11"/>
      <c r="K6" s="10" t="str">
        <f>"220,0"</f>
        <v>220,0</v>
      </c>
      <c r="L6" s="12" t="str">
        <f>"122,1000"</f>
        <v>122,1000</v>
      </c>
      <c r="M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198</v>
      </c>
      <c r="B17" s="22"/>
    </row>
    <row r="18" spans="1:2" ht="14.25">
      <c r="A18" s="24"/>
      <c r="B18" s="25" t="s">
        <v>193</v>
      </c>
    </row>
    <row r="19" spans="1:5" ht="15">
      <c r="A19" s="26" t="s">
        <v>184</v>
      </c>
      <c r="B19" s="26" t="s">
        <v>185</v>
      </c>
      <c r="C19" s="26" t="s">
        <v>186</v>
      </c>
      <c r="D19" s="26" t="s">
        <v>187</v>
      </c>
      <c r="E19" s="26" t="s">
        <v>188</v>
      </c>
    </row>
    <row r="20" spans="1:5" ht="12.75">
      <c r="A20" s="23" t="s">
        <v>528</v>
      </c>
      <c r="B20" s="4" t="s">
        <v>193</v>
      </c>
      <c r="C20" s="4" t="s">
        <v>200</v>
      </c>
      <c r="D20" s="4" t="s">
        <v>147</v>
      </c>
      <c r="E20" s="27" t="s">
        <v>532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53" t="s">
        <v>518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23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124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520</v>
      </c>
      <c r="B6" s="10" t="s">
        <v>521</v>
      </c>
      <c r="C6" s="10" t="s">
        <v>522</v>
      </c>
      <c r="D6" s="10" t="str">
        <f>"0,5910"</f>
        <v>0,5910</v>
      </c>
      <c r="E6" s="10" t="s">
        <v>297</v>
      </c>
      <c r="F6" s="10" t="s">
        <v>45</v>
      </c>
      <c r="G6" s="12" t="s">
        <v>147</v>
      </c>
      <c r="H6" s="12" t="s">
        <v>246</v>
      </c>
      <c r="I6" s="11"/>
      <c r="J6" s="11"/>
      <c r="K6" s="10" t="str">
        <f>"230,0"</f>
        <v>230,0</v>
      </c>
      <c r="L6" s="12" t="str">
        <f>"135,9300"</f>
        <v>135,9300</v>
      </c>
      <c r="M6" s="10" t="s">
        <v>39</v>
      </c>
    </row>
    <row r="8" spans="1:12" ht="15">
      <c r="A8" s="51" t="s">
        <v>241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10" t="s">
        <v>243</v>
      </c>
      <c r="B9" s="10" t="s">
        <v>244</v>
      </c>
      <c r="C9" s="10" t="s">
        <v>523</v>
      </c>
      <c r="D9" s="10" t="str">
        <f>"0,5136"</f>
        <v>0,5136</v>
      </c>
      <c r="E9" s="10" t="s">
        <v>29</v>
      </c>
      <c r="F9" s="10" t="s">
        <v>30</v>
      </c>
      <c r="G9" s="12" t="s">
        <v>497</v>
      </c>
      <c r="H9" s="12" t="s">
        <v>489</v>
      </c>
      <c r="I9" s="12" t="s">
        <v>524</v>
      </c>
      <c r="J9" s="11"/>
      <c r="K9" s="10" t="str">
        <f>"270,0"</f>
        <v>270,0</v>
      </c>
      <c r="L9" s="12" t="str">
        <f>"138,6612"</f>
        <v>138,6612</v>
      </c>
      <c r="M9" s="10" t="s">
        <v>39</v>
      </c>
    </row>
    <row r="11" ht="15">
      <c r="E11" s="8" t="s">
        <v>13</v>
      </c>
    </row>
    <row r="12" ht="15">
      <c r="E12" s="8" t="s">
        <v>14</v>
      </c>
    </row>
    <row r="13" ht="15">
      <c r="E13" s="8" t="s">
        <v>15</v>
      </c>
    </row>
    <row r="14" ht="15">
      <c r="E14" s="8" t="s">
        <v>16</v>
      </c>
    </row>
    <row r="15" ht="15">
      <c r="E15" s="8" t="s">
        <v>16</v>
      </c>
    </row>
    <row r="16" ht="15">
      <c r="E16" s="8" t="s">
        <v>17</v>
      </c>
    </row>
    <row r="17" ht="15">
      <c r="E17" s="8"/>
    </row>
    <row r="19" spans="1:2" ht="18">
      <c r="A19" s="9" t="s">
        <v>18</v>
      </c>
      <c r="B19" s="9"/>
    </row>
    <row r="20" spans="1:2" ht="15">
      <c r="A20" s="22" t="s">
        <v>198</v>
      </c>
      <c r="B20" s="22"/>
    </row>
    <row r="21" spans="1:2" ht="14.25">
      <c r="A21" s="24"/>
      <c r="B21" s="25" t="s">
        <v>193</v>
      </c>
    </row>
    <row r="22" spans="1:5" ht="15">
      <c r="A22" s="26" t="s">
        <v>184</v>
      </c>
      <c r="B22" s="26" t="s">
        <v>185</v>
      </c>
      <c r="C22" s="26" t="s">
        <v>186</v>
      </c>
      <c r="D22" s="26" t="s">
        <v>187</v>
      </c>
      <c r="E22" s="26" t="s">
        <v>188</v>
      </c>
    </row>
    <row r="23" spans="1:5" ht="12.75">
      <c r="A23" s="23" t="s">
        <v>519</v>
      </c>
      <c r="B23" s="4" t="s">
        <v>193</v>
      </c>
      <c r="C23" s="4" t="s">
        <v>204</v>
      </c>
      <c r="D23" s="4" t="s">
        <v>246</v>
      </c>
      <c r="E23" s="27" t="s">
        <v>525</v>
      </c>
    </row>
    <row r="25" spans="1:2" ht="14.25">
      <c r="A25" s="24"/>
      <c r="B25" s="25" t="s">
        <v>236</v>
      </c>
    </row>
    <row r="26" spans="1:5" ht="15">
      <c r="A26" s="26" t="s">
        <v>184</v>
      </c>
      <c r="B26" s="26" t="s">
        <v>185</v>
      </c>
      <c r="C26" s="26" t="s">
        <v>186</v>
      </c>
      <c r="D26" s="26" t="s">
        <v>187</v>
      </c>
      <c r="E26" s="26" t="s">
        <v>188</v>
      </c>
    </row>
    <row r="27" spans="1:5" ht="12.75">
      <c r="A27" s="23" t="s">
        <v>242</v>
      </c>
      <c r="B27" s="4" t="s">
        <v>237</v>
      </c>
      <c r="C27" s="4" t="s">
        <v>247</v>
      </c>
      <c r="D27" s="4" t="s">
        <v>524</v>
      </c>
      <c r="E27" s="27" t="s">
        <v>526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49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53" t="s">
        <v>426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23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3" t="s">
        <v>428</v>
      </c>
      <c r="B6" s="13" t="s">
        <v>429</v>
      </c>
      <c r="C6" s="13" t="s">
        <v>430</v>
      </c>
      <c r="D6" s="13" t="str">
        <f>"1,0611"</f>
        <v>1,0611</v>
      </c>
      <c r="E6" s="13" t="s">
        <v>164</v>
      </c>
      <c r="F6" s="13" t="s">
        <v>165</v>
      </c>
      <c r="G6" s="14" t="s">
        <v>129</v>
      </c>
      <c r="H6" s="14" t="s">
        <v>83</v>
      </c>
      <c r="I6" s="14" t="s">
        <v>98</v>
      </c>
      <c r="J6" s="15"/>
      <c r="K6" s="13" t="str">
        <f>"95,0"</f>
        <v>95,0</v>
      </c>
      <c r="L6" s="14" t="str">
        <f>"100,8092"</f>
        <v>100,8092</v>
      </c>
      <c r="M6" s="13" t="s">
        <v>167</v>
      </c>
    </row>
    <row r="7" spans="1:13" ht="12.75">
      <c r="A7" s="16" t="s">
        <v>432</v>
      </c>
      <c r="B7" s="16" t="s">
        <v>433</v>
      </c>
      <c r="C7" s="16" t="s">
        <v>434</v>
      </c>
      <c r="D7" s="16" t="str">
        <f>"1,0432"</f>
        <v>1,0432</v>
      </c>
      <c r="E7" s="16" t="s">
        <v>29</v>
      </c>
      <c r="F7" s="16" t="s">
        <v>45</v>
      </c>
      <c r="G7" s="18" t="s">
        <v>88</v>
      </c>
      <c r="H7" s="17" t="s">
        <v>98</v>
      </c>
      <c r="I7" s="18" t="s">
        <v>98</v>
      </c>
      <c r="J7" s="17"/>
      <c r="K7" s="16" t="str">
        <f>"95,0"</f>
        <v>95,0</v>
      </c>
      <c r="L7" s="18" t="str">
        <f>"99,1040"</f>
        <v>99,1040</v>
      </c>
      <c r="M7" s="16" t="s">
        <v>435</v>
      </c>
    </row>
    <row r="9" spans="1:12" ht="15">
      <c r="A9" s="51" t="s">
        <v>40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 ht="12.75">
      <c r="A10" s="10" t="s">
        <v>42</v>
      </c>
      <c r="B10" s="10" t="s">
        <v>43</v>
      </c>
      <c r="C10" s="10" t="s">
        <v>44</v>
      </c>
      <c r="D10" s="10" t="str">
        <f>"0,9864"</f>
        <v>0,9864</v>
      </c>
      <c r="E10" s="10" t="s">
        <v>29</v>
      </c>
      <c r="F10" s="10" t="s">
        <v>45</v>
      </c>
      <c r="G10" s="12" t="s">
        <v>48</v>
      </c>
      <c r="H10" s="12" t="s">
        <v>49</v>
      </c>
      <c r="I10" s="11"/>
      <c r="J10" s="11"/>
      <c r="K10" s="10" t="str">
        <f>"112,5"</f>
        <v>112,5</v>
      </c>
      <c r="L10" s="12" t="str">
        <f>"110,9700"</f>
        <v>110,9700</v>
      </c>
      <c r="M10" s="10" t="s">
        <v>50</v>
      </c>
    </row>
    <row r="12" spans="1:12" ht="15">
      <c r="A12" s="51" t="s">
        <v>436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 ht="12.75">
      <c r="A13" s="10" t="s">
        <v>438</v>
      </c>
      <c r="B13" s="10" t="s">
        <v>439</v>
      </c>
      <c r="C13" s="10" t="s">
        <v>440</v>
      </c>
      <c r="D13" s="10" t="str">
        <f>"0,9160"</f>
        <v>0,9160</v>
      </c>
      <c r="E13" s="10" t="s">
        <v>164</v>
      </c>
      <c r="F13" s="10" t="s">
        <v>165</v>
      </c>
      <c r="G13" s="12" t="s">
        <v>48</v>
      </c>
      <c r="H13" s="12" t="s">
        <v>57</v>
      </c>
      <c r="I13" s="12" t="s">
        <v>58</v>
      </c>
      <c r="J13" s="11"/>
      <c r="K13" s="10" t="str">
        <f>"115,0"</f>
        <v>115,0</v>
      </c>
      <c r="L13" s="12" t="str">
        <f>"105,3400"</f>
        <v>105,3400</v>
      </c>
      <c r="M13" s="10" t="s">
        <v>167</v>
      </c>
    </row>
    <row r="15" spans="1:12" ht="1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 ht="12.75">
      <c r="A16" s="13" t="s">
        <v>442</v>
      </c>
      <c r="B16" s="13" t="s">
        <v>443</v>
      </c>
      <c r="C16" s="13" t="s">
        <v>444</v>
      </c>
      <c r="D16" s="13" t="str">
        <f>"0,8090"</f>
        <v>0,8090</v>
      </c>
      <c r="E16" s="13" t="s">
        <v>29</v>
      </c>
      <c r="F16" s="13" t="s">
        <v>45</v>
      </c>
      <c r="G16" s="14" t="s">
        <v>130</v>
      </c>
      <c r="H16" s="15" t="s">
        <v>115</v>
      </c>
      <c r="I16" s="15" t="s">
        <v>115</v>
      </c>
      <c r="J16" s="15"/>
      <c r="K16" s="13" t="str">
        <f>"130,0"</f>
        <v>130,0</v>
      </c>
      <c r="L16" s="14" t="str">
        <f>"105,1635"</f>
        <v>105,1635</v>
      </c>
      <c r="M16" s="13" t="s">
        <v>50</v>
      </c>
    </row>
    <row r="17" spans="1:13" ht="12.75">
      <c r="A17" s="16" t="s">
        <v>446</v>
      </c>
      <c r="B17" s="16" t="s">
        <v>447</v>
      </c>
      <c r="C17" s="16" t="s">
        <v>448</v>
      </c>
      <c r="D17" s="16" t="str">
        <f>"0,8047"</f>
        <v>0,8047</v>
      </c>
      <c r="E17" s="16" t="s">
        <v>164</v>
      </c>
      <c r="F17" s="16" t="s">
        <v>165</v>
      </c>
      <c r="G17" s="18" t="s">
        <v>58</v>
      </c>
      <c r="H17" s="18" t="s">
        <v>59</v>
      </c>
      <c r="I17" s="18" t="s">
        <v>130</v>
      </c>
      <c r="J17" s="17"/>
      <c r="K17" s="16" t="str">
        <f>"130,0"</f>
        <v>130,0</v>
      </c>
      <c r="L17" s="18" t="str">
        <f>"104,6110"</f>
        <v>104,6110</v>
      </c>
      <c r="M17" s="16" t="s">
        <v>39</v>
      </c>
    </row>
    <row r="19" spans="1:12" ht="15">
      <c r="A19" s="51" t="s">
        <v>449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ht="12.75">
      <c r="A20" s="10" t="s">
        <v>451</v>
      </c>
      <c r="B20" s="10" t="s">
        <v>452</v>
      </c>
      <c r="C20" s="10" t="s">
        <v>453</v>
      </c>
      <c r="D20" s="10" t="str">
        <f>"0,5610"</f>
        <v>0,5610</v>
      </c>
      <c r="E20" s="10" t="s">
        <v>164</v>
      </c>
      <c r="F20" s="10" t="s">
        <v>165</v>
      </c>
      <c r="G20" s="12" t="s">
        <v>59</v>
      </c>
      <c r="H20" s="11" t="s">
        <v>130</v>
      </c>
      <c r="I20" s="11" t="s">
        <v>130</v>
      </c>
      <c r="J20" s="11"/>
      <c r="K20" s="10" t="str">
        <f>"120,0"</f>
        <v>120,0</v>
      </c>
      <c r="L20" s="12" t="str">
        <f>"67,3260"</f>
        <v>67,3260</v>
      </c>
      <c r="M20" s="10" t="s">
        <v>167</v>
      </c>
    </row>
    <row r="22" spans="1:12" ht="1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3" ht="12.75">
      <c r="A23" s="10" t="s">
        <v>455</v>
      </c>
      <c r="B23" s="10" t="s">
        <v>456</v>
      </c>
      <c r="C23" s="10" t="s">
        <v>448</v>
      </c>
      <c r="D23" s="10" t="str">
        <f>"0,7514"</f>
        <v>0,7514</v>
      </c>
      <c r="E23" s="10" t="s">
        <v>29</v>
      </c>
      <c r="F23" s="10" t="s">
        <v>45</v>
      </c>
      <c r="G23" s="12" t="s">
        <v>63</v>
      </c>
      <c r="H23" s="12" t="s">
        <v>89</v>
      </c>
      <c r="I23" s="11" t="s">
        <v>107</v>
      </c>
      <c r="J23" s="11"/>
      <c r="K23" s="10" t="str">
        <f>"135,0"</f>
        <v>135,0</v>
      </c>
      <c r="L23" s="12" t="str">
        <f>"109,5541"</f>
        <v>109,5541</v>
      </c>
      <c r="M23" s="10" t="s">
        <v>457</v>
      </c>
    </row>
    <row r="25" spans="1:12" ht="15">
      <c r="A25" s="51" t="s">
        <v>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3" ht="12.75">
      <c r="A26" s="10" t="s">
        <v>459</v>
      </c>
      <c r="B26" s="10" t="s">
        <v>460</v>
      </c>
      <c r="C26" s="10" t="s">
        <v>461</v>
      </c>
      <c r="D26" s="10" t="str">
        <f>"0,6694"</f>
        <v>0,6694</v>
      </c>
      <c r="E26" s="10" t="s">
        <v>29</v>
      </c>
      <c r="F26" s="10" t="s">
        <v>120</v>
      </c>
      <c r="G26" s="12" t="s">
        <v>208</v>
      </c>
      <c r="H26" s="12" t="s">
        <v>122</v>
      </c>
      <c r="I26" s="12" t="s">
        <v>462</v>
      </c>
      <c r="J26" s="11"/>
      <c r="K26" s="10" t="str">
        <f>"192,5"</f>
        <v>192,5</v>
      </c>
      <c r="L26" s="12" t="str">
        <f>"128,8595"</f>
        <v>128,8595</v>
      </c>
      <c r="M26" s="10" t="s">
        <v>39</v>
      </c>
    </row>
    <row r="28" spans="1:12" ht="15">
      <c r="A28" s="51" t="s">
        <v>111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3" ht="12.75">
      <c r="A29" s="13" t="s">
        <v>464</v>
      </c>
      <c r="B29" s="13" t="s">
        <v>465</v>
      </c>
      <c r="C29" s="13" t="s">
        <v>466</v>
      </c>
      <c r="D29" s="13" t="str">
        <f>"0,6230"</f>
        <v>0,6230</v>
      </c>
      <c r="E29" s="13" t="s">
        <v>29</v>
      </c>
      <c r="F29" s="13" t="s">
        <v>467</v>
      </c>
      <c r="G29" s="14" t="s">
        <v>122</v>
      </c>
      <c r="H29" s="14" t="s">
        <v>218</v>
      </c>
      <c r="I29" s="15" t="s">
        <v>155</v>
      </c>
      <c r="J29" s="15"/>
      <c r="K29" s="13" t="str">
        <f>"187,5"</f>
        <v>187,5</v>
      </c>
      <c r="L29" s="14" t="str">
        <f>"116,8125"</f>
        <v>116,8125</v>
      </c>
      <c r="M29" s="13" t="s">
        <v>39</v>
      </c>
    </row>
    <row r="30" spans="1:13" ht="12.75">
      <c r="A30" s="16" t="s">
        <v>469</v>
      </c>
      <c r="B30" s="16" t="s">
        <v>470</v>
      </c>
      <c r="C30" s="16" t="s">
        <v>471</v>
      </c>
      <c r="D30" s="16" t="str">
        <f>"0,6347"</f>
        <v>0,6347</v>
      </c>
      <c r="E30" s="16" t="s">
        <v>29</v>
      </c>
      <c r="F30" s="16" t="s">
        <v>467</v>
      </c>
      <c r="G30" s="18" t="s">
        <v>91</v>
      </c>
      <c r="H30" s="17" t="s">
        <v>121</v>
      </c>
      <c r="I30" s="18" t="s">
        <v>121</v>
      </c>
      <c r="J30" s="17"/>
      <c r="K30" s="16" t="str">
        <f>"170,0"</f>
        <v>170,0</v>
      </c>
      <c r="L30" s="18" t="str">
        <f>"107,8990"</f>
        <v>107,8990</v>
      </c>
      <c r="M30" s="16" t="s">
        <v>39</v>
      </c>
    </row>
    <row r="32" spans="1:12" ht="15">
      <c r="A32" s="51" t="s">
        <v>124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3" ht="12.75">
      <c r="A33" s="13" t="s">
        <v>473</v>
      </c>
      <c r="B33" s="13" t="s">
        <v>474</v>
      </c>
      <c r="C33" s="13" t="s">
        <v>475</v>
      </c>
      <c r="D33" s="13" t="str">
        <f>"0,5978"</f>
        <v>0,5978</v>
      </c>
      <c r="E33" s="13" t="s">
        <v>29</v>
      </c>
      <c r="F33" s="13" t="s">
        <v>45</v>
      </c>
      <c r="G33" s="14" t="s">
        <v>91</v>
      </c>
      <c r="H33" s="15" t="s">
        <v>121</v>
      </c>
      <c r="I33" s="15" t="s">
        <v>121</v>
      </c>
      <c r="J33" s="15"/>
      <c r="K33" s="13" t="str">
        <f>"160,0"</f>
        <v>160,0</v>
      </c>
      <c r="L33" s="14" t="str">
        <f>"99,4739"</f>
        <v>99,4739</v>
      </c>
      <c r="M33" s="13" t="s">
        <v>476</v>
      </c>
    </row>
    <row r="34" spans="1:13" ht="12.75">
      <c r="A34" s="16" t="s">
        <v>478</v>
      </c>
      <c r="B34" s="16" t="s">
        <v>479</v>
      </c>
      <c r="C34" s="16" t="s">
        <v>480</v>
      </c>
      <c r="D34" s="16" t="str">
        <f>"0,5952"</f>
        <v>0,5952</v>
      </c>
      <c r="E34" s="16" t="s">
        <v>29</v>
      </c>
      <c r="F34" s="16" t="s">
        <v>481</v>
      </c>
      <c r="G34" s="18" t="s">
        <v>137</v>
      </c>
      <c r="H34" s="18" t="s">
        <v>166</v>
      </c>
      <c r="I34" s="18" t="s">
        <v>138</v>
      </c>
      <c r="J34" s="17"/>
      <c r="K34" s="16" t="str">
        <f>"210,0"</f>
        <v>210,0</v>
      </c>
      <c r="L34" s="18" t="str">
        <f>"124,9920"</f>
        <v>124,9920</v>
      </c>
      <c r="M34" s="16" t="s">
        <v>39</v>
      </c>
    </row>
    <row r="36" spans="1:12" ht="15">
      <c r="A36" s="51" t="s">
        <v>141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3" ht="12.75">
      <c r="A37" s="13" t="s">
        <v>482</v>
      </c>
      <c r="B37" s="13" t="s">
        <v>158</v>
      </c>
      <c r="C37" s="13" t="s">
        <v>145</v>
      </c>
      <c r="D37" s="13" t="str">
        <f>"0,5553"</f>
        <v>0,5553</v>
      </c>
      <c r="E37" s="13" t="s">
        <v>29</v>
      </c>
      <c r="F37" s="13" t="s">
        <v>45</v>
      </c>
      <c r="G37" s="14" t="s">
        <v>159</v>
      </c>
      <c r="H37" s="14" t="s">
        <v>483</v>
      </c>
      <c r="I37" s="15" t="s">
        <v>484</v>
      </c>
      <c r="J37" s="15"/>
      <c r="K37" s="13" t="str">
        <f>"255,0"</f>
        <v>255,0</v>
      </c>
      <c r="L37" s="14" t="str">
        <f>"141,6015"</f>
        <v>141,6015</v>
      </c>
      <c r="M37" s="13" t="s">
        <v>39</v>
      </c>
    </row>
    <row r="38" spans="1:13" ht="12.75">
      <c r="A38" s="19" t="s">
        <v>486</v>
      </c>
      <c r="B38" s="19" t="s">
        <v>487</v>
      </c>
      <c r="C38" s="19" t="s">
        <v>359</v>
      </c>
      <c r="D38" s="19" t="str">
        <f>"0,5591"</f>
        <v>0,5591</v>
      </c>
      <c r="E38" s="19" t="s">
        <v>135</v>
      </c>
      <c r="F38" s="19" t="s">
        <v>136</v>
      </c>
      <c r="G38" s="21" t="s">
        <v>246</v>
      </c>
      <c r="H38" s="21" t="s">
        <v>488</v>
      </c>
      <c r="I38" s="20" t="s">
        <v>489</v>
      </c>
      <c r="J38" s="20"/>
      <c r="K38" s="19" t="str">
        <f>"252,5"</f>
        <v>252,5</v>
      </c>
      <c r="L38" s="21" t="str">
        <f>"141,1727"</f>
        <v>141,1727</v>
      </c>
      <c r="M38" s="19" t="s">
        <v>149</v>
      </c>
    </row>
    <row r="39" spans="1:13" ht="12.75">
      <c r="A39" s="19" t="s">
        <v>490</v>
      </c>
      <c r="B39" s="19" t="s">
        <v>491</v>
      </c>
      <c r="C39" s="19" t="s">
        <v>492</v>
      </c>
      <c r="D39" s="19" t="str">
        <f>"0,5619"</f>
        <v>0,5619</v>
      </c>
      <c r="E39" s="19" t="s">
        <v>135</v>
      </c>
      <c r="F39" s="19" t="s">
        <v>136</v>
      </c>
      <c r="G39" s="20" t="s">
        <v>400</v>
      </c>
      <c r="H39" s="20"/>
      <c r="I39" s="20"/>
      <c r="J39" s="20"/>
      <c r="K39" s="19" t="str">
        <f>"0.00"</f>
        <v>0.00</v>
      </c>
      <c r="L39" s="21" t="str">
        <f>"0,0000"</f>
        <v>0,0000</v>
      </c>
      <c r="M39" s="19" t="s">
        <v>149</v>
      </c>
    </row>
    <row r="40" spans="1:13" ht="12.75">
      <c r="A40" s="16" t="s">
        <v>161</v>
      </c>
      <c r="B40" s="16" t="s">
        <v>162</v>
      </c>
      <c r="C40" s="16" t="s">
        <v>163</v>
      </c>
      <c r="D40" s="16" t="str">
        <f>"0,5586"</f>
        <v>0,5586</v>
      </c>
      <c r="E40" s="16" t="s">
        <v>164</v>
      </c>
      <c r="F40" s="16" t="s">
        <v>165</v>
      </c>
      <c r="G40" s="18" t="s">
        <v>138</v>
      </c>
      <c r="H40" s="17" t="s">
        <v>139</v>
      </c>
      <c r="I40" s="18" t="s">
        <v>139</v>
      </c>
      <c r="J40" s="17"/>
      <c r="K40" s="16" t="str">
        <f>"215,0"</f>
        <v>215,0</v>
      </c>
      <c r="L40" s="18" t="str">
        <f>"120,0990"</f>
        <v>120,0990</v>
      </c>
      <c r="M40" s="16" t="s">
        <v>167</v>
      </c>
    </row>
    <row r="42" spans="1:12" ht="15">
      <c r="A42" s="51" t="s">
        <v>241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3" ht="12.75">
      <c r="A43" s="10" t="s">
        <v>494</v>
      </c>
      <c r="B43" s="10" t="s">
        <v>495</v>
      </c>
      <c r="C43" s="10" t="s">
        <v>496</v>
      </c>
      <c r="D43" s="10" t="str">
        <f>"0,5186"</f>
        <v>0,5186</v>
      </c>
      <c r="E43" s="10" t="s">
        <v>135</v>
      </c>
      <c r="F43" s="10" t="s">
        <v>136</v>
      </c>
      <c r="G43" s="12" t="s">
        <v>246</v>
      </c>
      <c r="H43" s="12" t="s">
        <v>497</v>
      </c>
      <c r="I43" s="11" t="s">
        <v>489</v>
      </c>
      <c r="J43" s="11"/>
      <c r="K43" s="10" t="str">
        <f>"250,0"</f>
        <v>250,0</v>
      </c>
      <c r="L43" s="12" t="str">
        <f>"134,8360"</f>
        <v>134,8360</v>
      </c>
      <c r="M43" s="10" t="s">
        <v>149</v>
      </c>
    </row>
    <row r="45" ht="15">
      <c r="E45" s="8" t="s">
        <v>13</v>
      </c>
    </row>
    <row r="46" ht="15">
      <c r="E46" s="8" t="s">
        <v>14</v>
      </c>
    </row>
    <row r="47" ht="15">
      <c r="E47" s="8" t="s">
        <v>15</v>
      </c>
    </row>
    <row r="48" ht="15">
      <c r="E48" s="8" t="s">
        <v>16</v>
      </c>
    </row>
    <row r="49" ht="15">
      <c r="E49" s="8" t="s">
        <v>16</v>
      </c>
    </row>
    <row r="50" ht="15">
      <c r="E50" s="8" t="s">
        <v>17</v>
      </c>
    </row>
    <row r="51" ht="15">
      <c r="E51" s="8"/>
    </row>
    <row r="53" spans="1:2" ht="18">
      <c r="A53" s="9" t="s">
        <v>18</v>
      </c>
      <c r="B53" s="9"/>
    </row>
    <row r="54" spans="1:2" ht="15">
      <c r="A54" s="22" t="s">
        <v>182</v>
      </c>
      <c r="B54" s="22"/>
    </row>
    <row r="55" spans="1:2" ht="14.25">
      <c r="A55" s="24"/>
      <c r="B55" s="25" t="s">
        <v>498</v>
      </c>
    </row>
    <row r="56" spans="1:5" ht="15">
      <c r="A56" s="26" t="s">
        <v>184</v>
      </c>
      <c r="B56" s="26" t="s">
        <v>185</v>
      </c>
      <c r="C56" s="26" t="s">
        <v>186</v>
      </c>
      <c r="D56" s="26" t="s">
        <v>187</v>
      </c>
      <c r="E56" s="26" t="s">
        <v>188</v>
      </c>
    </row>
    <row r="57" spans="1:5" ht="12.75">
      <c r="A57" s="23" t="s">
        <v>450</v>
      </c>
      <c r="B57" s="4" t="s">
        <v>221</v>
      </c>
      <c r="C57" s="4" t="s">
        <v>499</v>
      </c>
      <c r="D57" s="4" t="s">
        <v>59</v>
      </c>
      <c r="E57" s="27" t="s">
        <v>500</v>
      </c>
    </row>
    <row r="59" spans="1:2" ht="14.25">
      <c r="A59" s="24"/>
      <c r="B59" s="25" t="s">
        <v>193</v>
      </c>
    </row>
    <row r="60" spans="1:5" ht="15">
      <c r="A60" s="26" t="s">
        <v>184</v>
      </c>
      <c r="B60" s="26" t="s">
        <v>185</v>
      </c>
      <c r="C60" s="26" t="s">
        <v>186</v>
      </c>
      <c r="D60" s="26" t="s">
        <v>187</v>
      </c>
      <c r="E60" s="26" t="s">
        <v>188</v>
      </c>
    </row>
    <row r="61" spans="1:5" ht="12.75">
      <c r="A61" s="23" t="s">
        <v>41</v>
      </c>
      <c r="B61" s="4" t="s">
        <v>193</v>
      </c>
      <c r="C61" s="4" t="s">
        <v>194</v>
      </c>
      <c r="D61" s="4" t="s">
        <v>49</v>
      </c>
      <c r="E61" s="27" t="s">
        <v>501</v>
      </c>
    </row>
    <row r="62" spans="1:5" ht="12.75">
      <c r="A62" s="23" t="s">
        <v>437</v>
      </c>
      <c r="B62" s="4" t="s">
        <v>193</v>
      </c>
      <c r="C62" s="4" t="s">
        <v>502</v>
      </c>
      <c r="D62" s="4" t="s">
        <v>58</v>
      </c>
      <c r="E62" s="27" t="s">
        <v>503</v>
      </c>
    </row>
    <row r="63" spans="1:5" ht="12.75">
      <c r="A63" s="23" t="s">
        <v>441</v>
      </c>
      <c r="B63" s="4" t="s">
        <v>193</v>
      </c>
      <c r="C63" s="4" t="s">
        <v>190</v>
      </c>
      <c r="D63" s="4" t="s">
        <v>130</v>
      </c>
      <c r="E63" s="27" t="s">
        <v>504</v>
      </c>
    </row>
    <row r="64" spans="1:5" ht="12.75">
      <c r="A64" s="23" t="s">
        <v>427</v>
      </c>
      <c r="B64" s="4" t="s">
        <v>193</v>
      </c>
      <c r="C64" s="4" t="s">
        <v>196</v>
      </c>
      <c r="D64" s="4" t="s">
        <v>98</v>
      </c>
      <c r="E64" s="27" t="s">
        <v>505</v>
      </c>
    </row>
    <row r="65" spans="1:5" ht="12.75">
      <c r="A65" s="23" t="s">
        <v>431</v>
      </c>
      <c r="B65" s="4" t="s">
        <v>193</v>
      </c>
      <c r="C65" s="4" t="s">
        <v>196</v>
      </c>
      <c r="D65" s="4" t="s">
        <v>98</v>
      </c>
      <c r="E65" s="27" t="s">
        <v>506</v>
      </c>
    </row>
    <row r="67" spans="1:2" ht="14.25">
      <c r="A67" s="24"/>
      <c r="B67" s="25" t="s">
        <v>236</v>
      </c>
    </row>
    <row r="68" spans="1:5" ht="15">
      <c r="A68" s="26" t="s">
        <v>184</v>
      </c>
      <c r="B68" s="26" t="s">
        <v>185</v>
      </c>
      <c r="C68" s="26" t="s">
        <v>186</v>
      </c>
      <c r="D68" s="26" t="s">
        <v>187</v>
      </c>
      <c r="E68" s="26" t="s">
        <v>188</v>
      </c>
    </row>
    <row r="69" spans="1:5" ht="12.75">
      <c r="A69" s="23" t="s">
        <v>445</v>
      </c>
      <c r="B69" s="4" t="s">
        <v>237</v>
      </c>
      <c r="C69" s="4" t="s">
        <v>190</v>
      </c>
      <c r="D69" s="4" t="s">
        <v>130</v>
      </c>
      <c r="E69" s="27" t="s">
        <v>507</v>
      </c>
    </row>
    <row r="72" spans="1:2" ht="15">
      <c r="A72" s="22" t="s">
        <v>198</v>
      </c>
      <c r="B72" s="22"/>
    </row>
    <row r="73" spans="1:2" ht="14.25">
      <c r="A73" s="24"/>
      <c r="B73" s="25" t="s">
        <v>199</v>
      </c>
    </row>
    <row r="74" spans="1:5" ht="15">
      <c r="A74" s="26" t="s">
        <v>184</v>
      </c>
      <c r="B74" s="26" t="s">
        <v>185</v>
      </c>
      <c r="C74" s="26" t="s">
        <v>186</v>
      </c>
      <c r="D74" s="26" t="s">
        <v>187</v>
      </c>
      <c r="E74" s="26" t="s">
        <v>188</v>
      </c>
    </row>
    <row r="75" spans="1:5" ht="12.75">
      <c r="A75" s="23" t="s">
        <v>493</v>
      </c>
      <c r="B75" s="4" t="s">
        <v>189</v>
      </c>
      <c r="C75" s="4" t="s">
        <v>247</v>
      </c>
      <c r="D75" s="4" t="s">
        <v>497</v>
      </c>
      <c r="E75" s="27" t="s">
        <v>508</v>
      </c>
    </row>
    <row r="76" spans="1:5" ht="12.75">
      <c r="A76" s="23" t="s">
        <v>454</v>
      </c>
      <c r="B76" s="4" t="s">
        <v>203</v>
      </c>
      <c r="C76" s="4" t="s">
        <v>190</v>
      </c>
      <c r="D76" s="4" t="s">
        <v>89</v>
      </c>
      <c r="E76" s="27" t="s">
        <v>509</v>
      </c>
    </row>
    <row r="77" spans="1:5" ht="12.75">
      <c r="A77" s="23" t="s">
        <v>472</v>
      </c>
      <c r="B77" s="4" t="s">
        <v>189</v>
      </c>
      <c r="C77" s="4" t="s">
        <v>204</v>
      </c>
      <c r="D77" s="4" t="s">
        <v>91</v>
      </c>
      <c r="E77" s="27" t="s">
        <v>510</v>
      </c>
    </row>
    <row r="79" spans="1:2" ht="14.25">
      <c r="A79" s="24"/>
      <c r="B79" s="25" t="s">
        <v>220</v>
      </c>
    </row>
    <row r="80" spans="1:5" ht="15">
      <c r="A80" s="26" t="s">
        <v>184</v>
      </c>
      <c r="B80" s="26" t="s">
        <v>185</v>
      </c>
      <c r="C80" s="26" t="s">
        <v>186</v>
      </c>
      <c r="D80" s="26" t="s">
        <v>187</v>
      </c>
      <c r="E80" s="26" t="s">
        <v>188</v>
      </c>
    </row>
    <row r="81" spans="1:5" ht="12.75">
      <c r="A81" s="23" t="s">
        <v>458</v>
      </c>
      <c r="B81" s="4" t="s">
        <v>221</v>
      </c>
      <c r="C81" s="4" t="s">
        <v>210</v>
      </c>
      <c r="D81" s="4" t="s">
        <v>462</v>
      </c>
      <c r="E81" s="27" t="s">
        <v>511</v>
      </c>
    </row>
    <row r="83" spans="1:2" ht="14.25">
      <c r="A83" s="24"/>
      <c r="B83" s="25" t="s">
        <v>193</v>
      </c>
    </row>
    <row r="84" spans="1:5" ht="15">
      <c r="A84" s="26" t="s">
        <v>184</v>
      </c>
      <c r="B84" s="26" t="s">
        <v>185</v>
      </c>
      <c r="C84" s="26" t="s">
        <v>186</v>
      </c>
      <c r="D84" s="26" t="s">
        <v>187</v>
      </c>
      <c r="E84" s="26" t="s">
        <v>188</v>
      </c>
    </row>
    <row r="85" spans="1:5" ht="12.75">
      <c r="A85" s="23" t="s">
        <v>156</v>
      </c>
      <c r="B85" s="4" t="s">
        <v>193</v>
      </c>
      <c r="C85" s="4" t="s">
        <v>200</v>
      </c>
      <c r="D85" s="4" t="s">
        <v>483</v>
      </c>
      <c r="E85" s="27" t="s">
        <v>512</v>
      </c>
    </row>
    <row r="86" spans="1:5" ht="12.75">
      <c r="A86" s="23" t="s">
        <v>485</v>
      </c>
      <c r="B86" s="4" t="s">
        <v>193</v>
      </c>
      <c r="C86" s="4" t="s">
        <v>200</v>
      </c>
      <c r="D86" s="4" t="s">
        <v>488</v>
      </c>
      <c r="E86" s="27" t="s">
        <v>513</v>
      </c>
    </row>
    <row r="87" spans="1:5" ht="12.75">
      <c r="A87" s="23" t="s">
        <v>477</v>
      </c>
      <c r="B87" s="4" t="s">
        <v>193</v>
      </c>
      <c r="C87" s="4" t="s">
        <v>204</v>
      </c>
      <c r="D87" s="4" t="s">
        <v>138</v>
      </c>
      <c r="E87" s="27" t="s">
        <v>514</v>
      </c>
    </row>
    <row r="88" spans="1:5" ht="12.75">
      <c r="A88" s="23" t="s">
        <v>463</v>
      </c>
      <c r="B88" s="4" t="s">
        <v>193</v>
      </c>
      <c r="C88" s="4" t="s">
        <v>229</v>
      </c>
      <c r="D88" s="4" t="s">
        <v>218</v>
      </c>
      <c r="E88" s="27" t="s">
        <v>515</v>
      </c>
    </row>
    <row r="89" spans="1:5" ht="12.75">
      <c r="A89" s="23" t="s">
        <v>468</v>
      </c>
      <c r="B89" s="4" t="s">
        <v>193</v>
      </c>
      <c r="C89" s="4" t="s">
        <v>229</v>
      </c>
      <c r="D89" s="4" t="s">
        <v>121</v>
      </c>
      <c r="E89" s="27" t="s">
        <v>516</v>
      </c>
    </row>
    <row r="91" spans="1:2" ht="14.25">
      <c r="A91" s="24"/>
      <c r="B91" s="25" t="s">
        <v>236</v>
      </c>
    </row>
    <row r="92" spans="1:5" ht="15">
      <c r="A92" s="26" t="s">
        <v>184</v>
      </c>
      <c r="B92" s="26" t="s">
        <v>185</v>
      </c>
      <c r="C92" s="26" t="s">
        <v>186</v>
      </c>
      <c r="D92" s="26" t="s">
        <v>187</v>
      </c>
      <c r="E92" s="26" t="s">
        <v>188</v>
      </c>
    </row>
    <row r="93" spans="1:5" ht="12.75">
      <c r="A93" s="23" t="s">
        <v>160</v>
      </c>
      <c r="B93" s="4" t="s">
        <v>237</v>
      </c>
      <c r="C93" s="4" t="s">
        <v>200</v>
      </c>
      <c r="D93" s="4" t="s">
        <v>139</v>
      </c>
      <c r="E93" s="27" t="s">
        <v>517</v>
      </c>
    </row>
  </sheetData>
  <sheetProtection/>
  <mergeCells count="22">
    <mergeCell ref="A36:L36"/>
    <mergeCell ref="A42:L42"/>
    <mergeCell ref="A15:L15"/>
    <mergeCell ref="A19:L19"/>
    <mergeCell ref="A22:L22"/>
    <mergeCell ref="A25:L25"/>
    <mergeCell ref="A28:L28"/>
    <mergeCell ref="A32:L32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2">
      <selection activeCell="B40" sqref="B40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0.75390625" style="4" bestFit="1" customWidth="1"/>
    <col min="14" max="16384" width="9.125" style="3" customWidth="1"/>
  </cols>
  <sheetData>
    <row r="1" spans="1:13" s="2" customFormat="1" ht="28.5" customHeight="1">
      <c r="A1" s="53" t="s">
        <v>376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22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124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3" t="s">
        <v>378</v>
      </c>
      <c r="B6" s="13" t="s">
        <v>379</v>
      </c>
      <c r="C6" s="13" t="s">
        <v>380</v>
      </c>
      <c r="D6" s="13" t="str">
        <f>"0,5853"</f>
        <v>0,5853</v>
      </c>
      <c r="E6" s="13" t="s">
        <v>29</v>
      </c>
      <c r="F6" s="13" t="s">
        <v>165</v>
      </c>
      <c r="G6" s="14" t="s">
        <v>130</v>
      </c>
      <c r="H6" s="14" t="s">
        <v>89</v>
      </c>
      <c r="I6" s="15" t="s">
        <v>109</v>
      </c>
      <c r="J6" s="15"/>
      <c r="K6" s="13" t="str">
        <f>"135,0"</f>
        <v>135,0</v>
      </c>
      <c r="L6" s="14" t="str">
        <f>"79,0155"</f>
        <v>79,0155</v>
      </c>
      <c r="M6" s="13" t="s">
        <v>39</v>
      </c>
    </row>
    <row r="7" spans="1:13" ht="12.75">
      <c r="A7" s="16" t="s">
        <v>382</v>
      </c>
      <c r="B7" s="16" t="s">
        <v>383</v>
      </c>
      <c r="C7" s="16" t="s">
        <v>380</v>
      </c>
      <c r="D7" s="16" t="str">
        <f>"0,5853"</f>
        <v>0,5853</v>
      </c>
      <c r="E7" s="16" t="s">
        <v>29</v>
      </c>
      <c r="F7" s="16" t="s">
        <v>30</v>
      </c>
      <c r="G7" s="18" t="s">
        <v>63</v>
      </c>
      <c r="H7" s="18" t="s">
        <v>89</v>
      </c>
      <c r="I7" s="17" t="s">
        <v>269</v>
      </c>
      <c r="J7" s="17"/>
      <c r="K7" s="16" t="str">
        <f>"135,0"</f>
        <v>135,0</v>
      </c>
      <c r="L7" s="18" t="str">
        <f>"79,0155"</f>
        <v>79,0155</v>
      </c>
      <c r="M7" s="16" t="s">
        <v>39</v>
      </c>
    </row>
    <row r="9" spans="1:12" ht="15">
      <c r="A9" s="51" t="s">
        <v>141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3" ht="12.75">
      <c r="A10" s="13" t="s">
        <v>385</v>
      </c>
      <c r="B10" s="13" t="s">
        <v>386</v>
      </c>
      <c r="C10" s="13" t="s">
        <v>387</v>
      </c>
      <c r="D10" s="13" t="str">
        <f>"0,5565"</f>
        <v>0,5565</v>
      </c>
      <c r="E10" s="13" t="s">
        <v>297</v>
      </c>
      <c r="F10" s="13" t="s">
        <v>45</v>
      </c>
      <c r="G10" s="14" t="s">
        <v>137</v>
      </c>
      <c r="H10" s="14" t="s">
        <v>166</v>
      </c>
      <c r="I10" s="15"/>
      <c r="J10" s="15"/>
      <c r="K10" s="13" t="str">
        <f>"200,0"</f>
        <v>200,0</v>
      </c>
      <c r="L10" s="14" t="str">
        <f>"111,3000"</f>
        <v>111,3000</v>
      </c>
      <c r="M10" s="13" t="s">
        <v>39</v>
      </c>
    </row>
    <row r="11" spans="1:13" ht="12.75">
      <c r="A11" s="16" t="s">
        <v>389</v>
      </c>
      <c r="B11" s="16" t="s">
        <v>390</v>
      </c>
      <c r="C11" s="16" t="s">
        <v>391</v>
      </c>
      <c r="D11" s="16" t="str">
        <f>"0,5540"</f>
        <v>0,5540</v>
      </c>
      <c r="E11" s="16" t="s">
        <v>29</v>
      </c>
      <c r="F11" s="16" t="s">
        <v>30</v>
      </c>
      <c r="G11" s="18" t="s">
        <v>264</v>
      </c>
      <c r="H11" s="17" t="s">
        <v>91</v>
      </c>
      <c r="I11" s="17" t="s">
        <v>121</v>
      </c>
      <c r="J11" s="17"/>
      <c r="K11" s="16" t="str">
        <f>"152,5"</f>
        <v>152,5</v>
      </c>
      <c r="L11" s="18" t="str">
        <f>"84,4850"</f>
        <v>84,4850</v>
      </c>
      <c r="M11" s="16" t="s">
        <v>39</v>
      </c>
    </row>
    <row r="13" spans="1:12" ht="15">
      <c r="A13" s="51" t="s">
        <v>168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 ht="12.75">
      <c r="A14" s="13" t="s">
        <v>393</v>
      </c>
      <c r="B14" s="13" t="s">
        <v>394</v>
      </c>
      <c r="C14" s="13" t="s">
        <v>172</v>
      </c>
      <c r="D14" s="13" t="str">
        <f>"0,5365"</f>
        <v>0,5365</v>
      </c>
      <c r="E14" s="13" t="s">
        <v>135</v>
      </c>
      <c r="F14" s="13" t="s">
        <v>136</v>
      </c>
      <c r="G14" s="14" t="s">
        <v>122</v>
      </c>
      <c r="H14" s="14" t="s">
        <v>155</v>
      </c>
      <c r="I14" s="15" t="s">
        <v>395</v>
      </c>
      <c r="J14" s="15"/>
      <c r="K14" s="13" t="str">
        <f>"195,0"</f>
        <v>195,0</v>
      </c>
      <c r="L14" s="14" t="str">
        <f>"104,6175"</f>
        <v>104,6175</v>
      </c>
      <c r="M14" s="13" t="s">
        <v>149</v>
      </c>
    </row>
    <row r="15" spans="1:13" ht="12.75">
      <c r="A15" s="16" t="s">
        <v>397</v>
      </c>
      <c r="B15" s="16" t="s">
        <v>398</v>
      </c>
      <c r="C15" s="16" t="s">
        <v>399</v>
      </c>
      <c r="D15" s="16" t="str">
        <f>"0,5367"</f>
        <v>0,5367</v>
      </c>
      <c r="E15" s="16" t="s">
        <v>29</v>
      </c>
      <c r="F15" s="16" t="s">
        <v>165</v>
      </c>
      <c r="G15" s="18" t="s">
        <v>121</v>
      </c>
      <c r="H15" s="17" t="s">
        <v>401</v>
      </c>
      <c r="I15" s="17" t="s">
        <v>401</v>
      </c>
      <c r="J15" s="17"/>
      <c r="K15" s="16" t="str">
        <f>"170,0"</f>
        <v>170,0</v>
      </c>
      <c r="L15" s="18" t="str">
        <f>"91,2390"</f>
        <v>91,2390</v>
      </c>
      <c r="M15" s="16" t="s">
        <v>39</v>
      </c>
    </row>
    <row r="17" spans="1:12" ht="15">
      <c r="A17" s="51" t="s">
        <v>402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 ht="12.75">
      <c r="A18" s="10" t="s">
        <v>404</v>
      </c>
      <c r="B18" s="10" t="s">
        <v>405</v>
      </c>
      <c r="C18" s="10" t="s">
        <v>406</v>
      </c>
      <c r="D18" s="10" t="str">
        <f>"0,5323"</f>
        <v>0,5323</v>
      </c>
      <c r="E18" s="10" t="s">
        <v>29</v>
      </c>
      <c r="F18" s="10" t="s">
        <v>45</v>
      </c>
      <c r="G18" s="12" t="s">
        <v>121</v>
      </c>
      <c r="H18" s="11" t="s">
        <v>208</v>
      </c>
      <c r="I18" s="12" t="s">
        <v>208</v>
      </c>
      <c r="J18" s="11"/>
      <c r="K18" s="10" t="str">
        <f>"175,0"</f>
        <v>175,0</v>
      </c>
      <c r="L18" s="12" t="str">
        <f>"93,1525"</f>
        <v>93,1525</v>
      </c>
      <c r="M18" s="10" t="s">
        <v>39</v>
      </c>
    </row>
    <row r="20" spans="1:12" ht="15">
      <c r="A20" s="51" t="s">
        <v>410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3" ht="12.75">
      <c r="A21" s="10" t="s">
        <v>412</v>
      </c>
      <c r="B21" s="10" t="s">
        <v>413</v>
      </c>
      <c r="C21" s="10" t="s">
        <v>414</v>
      </c>
      <c r="D21" s="10" t="str">
        <f>"0,4991"</f>
        <v>0,4991</v>
      </c>
      <c r="E21" s="10" t="s">
        <v>29</v>
      </c>
      <c r="F21" s="10" t="s">
        <v>165</v>
      </c>
      <c r="G21" s="12" t="s">
        <v>137</v>
      </c>
      <c r="H21" s="12" t="s">
        <v>166</v>
      </c>
      <c r="I21" s="11" t="s">
        <v>138</v>
      </c>
      <c r="J21" s="11"/>
      <c r="K21" s="10" t="str">
        <f>"200,0"</f>
        <v>200,0</v>
      </c>
      <c r="L21" s="12" t="str">
        <f>"99,8200"</f>
        <v>99,8200</v>
      </c>
      <c r="M21" s="10" t="s">
        <v>415</v>
      </c>
    </row>
    <row r="23" ht="15">
      <c r="E23" s="8" t="s">
        <v>13</v>
      </c>
    </row>
    <row r="24" ht="15">
      <c r="E24" s="8" t="s">
        <v>14</v>
      </c>
    </row>
    <row r="25" ht="15">
      <c r="E25" s="8" t="s">
        <v>15</v>
      </c>
    </row>
    <row r="26" ht="15">
      <c r="E26" s="8" t="s">
        <v>16</v>
      </c>
    </row>
    <row r="27" ht="15">
      <c r="E27" s="8" t="s">
        <v>16</v>
      </c>
    </row>
    <row r="28" ht="15">
      <c r="E28" s="8" t="s">
        <v>17</v>
      </c>
    </row>
    <row r="29" ht="15">
      <c r="E29" s="8"/>
    </row>
    <row r="31" spans="1:2" ht="18">
      <c r="A31" s="9" t="s">
        <v>18</v>
      </c>
      <c r="B31" s="9"/>
    </row>
    <row r="32" spans="1:2" ht="15">
      <c r="A32" s="22" t="s">
        <v>198</v>
      </c>
      <c r="B32" s="22"/>
    </row>
    <row r="33" spans="1:2" ht="14.25">
      <c r="A33" s="24"/>
      <c r="B33" s="25" t="s">
        <v>193</v>
      </c>
    </row>
    <row r="34" spans="1:5" ht="15">
      <c r="A34" s="26" t="s">
        <v>184</v>
      </c>
      <c r="B34" s="26" t="s">
        <v>185</v>
      </c>
      <c r="C34" s="26" t="s">
        <v>186</v>
      </c>
      <c r="D34" s="26" t="s">
        <v>187</v>
      </c>
      <c r="E34" s="26" t="s">
        <v>188</v>
      </c>
    </row>
    <row r="35" spans="1:5" ht="12.75">
      <c r="A35" s="23" t="s">
        <v>384</v>
      </c>
      <c r="B35" s="4" t="s">
        <v>193</v>
      </c>
      <c r="C35" s="4" t="s">
        <v>200</v>
      </c>
      <c r="D35" s="4" t="s">
        <v>166</v>
      </c>
      <c r="E35" s="27" t="s">
        <v>416</v>
      </c>
    </row>
    <row r="36" spans="1:5" ht="12.75">
      <c r="A36" s="23" t="s">
        <v>392</v>
      </c>
      <c r="B36" s="4" t="s">
        <v>193</v>
      </c>
      <c r="C36" s="4" t="s">
        <v>224</v>
      </c>
      <c r="D36" s="4" t="s">
        <v>155</v>
      </c>
      <c r="E36" s="27" t="s">
        <v>417</v>
      </c>
    </row>
    <row r="37" spans="1:5" ht="12.75">
      <c r="A37" s="23" t="s">
        <v>411</v>
      </c>
      <c r="B37" s="4" t="s">
        <v>193</v>
      </c>
      <c r="C37" s="4" t="s">
        <v>418</v>
      </c>
      <c r="D37" s="4" t="s">
        <v>166</v>
      </c>
      <c r="E37" s="27" t="s">
        <v>419</v>
      </c>
    </row>
    <row r="38" spans="1:5" ht="12.75">
      <c r="A38" s="23" t="s">
        <v>403</v>
      </c>
      <c r="B38" s="4" t="s">
        <v>193</v>
      </c>
      <c r="C38" s="4" t="s">
        <v>420</v>
      </c>
      <c r="D38" s="4" t="s">
        <v>208</v>
      </c>
      <c r="E38" s="27" t="s">
        <v>421</v>
      </c>
    </row>
    <row r="39" spans="1:5" ht="12.75">
      <c r="A39" s="23" t="s">
        <v>396</v>
      </c>
      <c r="B39" s="4" t="s">
        <v>193</v>
      </c>
      <c r="C39" s="4" t="s">
        <v>224</v>
      </c>
      <c r="D39" s="4" t="s">
        <v>121</v>
      </c>
      <c r="E39" s="27" t="s">
        <v>422</v>
      </c>
    </row>
    <row r="40" spans="1:5" ht="12.75">
      <c r="A40" s="23" t="s">
        <v>388</v>
      </c>
      <c r="B40" s="4" t="s">
        <v>193</v>
      </c>
      <c r="C40" s="4" t="s">
        <v>200</v>
      </c>
      <c r="D40" s="4" t="s">
        <v>264</v>
      </c>
      <c r="E40" s="27" t="s">
        <v>423</v>
      </c>
    </row>
    <row r="41" spans="1:5" ht="12.75">
      <c r="A41" s="23" t="s">
        <v>381</v>
      </c>
      <c r="B41" s="4" t="s">
        <v>193</v>
      </c>
      <c r="C41" s="4" t="s">
        <v>204</v>
      </c>
      <c r="D41" s="4" t="s">
        <v>89</v>
      </c>
      <c r="E41" s="27" t="s">
        <v>424</v>
      </c>
    </row>
    <row r="42" spans="1:5" ht="12.75">
      <c r="A42" s="23" t="s">
        <v>377</v>
      </c>
      <c r="B42" s="4" t="s">
        <v>193</v>
      </c>
      <c r="C42" s="4" t="s">
        <v>204</v>
      </c>
      <c r="D42" s="4" t="s">
        <v>89</v>
      </c>
      <c r="E42" s="27" t="s">
        <v>424</v>
      </c>
    </row>
  </sheetData>
  <sheetProtection/>
  <mergeCells count="16">
    <mergeCell ref="A17:L17"/>
    <mergeCell ref="A20:L20"/>
    <mergeCell ref="K3:K4"/>
    <mergeCell ref="L3:L4"/>
    <mergeCell ref="M3:M4"/>
    <mergeCell ref="A5:L5"/>
    <mergeCell ref="A9:L9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B85" sqref="B85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5.2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75390625" style="4" bestFit="1" customWidth="1"/>
    <col min="14" max="16384" width="9.125" style="3" customWidth="1"/>
  </cols>
  <sheetData>
    <row r="1" spans="1:13" s="2" customFormat="1" ht="28.5" customHeight="1">
      <c r="A1" s="53" t="s">
        <v>288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22</v>
      </c>
      <c r="H3" s="48"/>
      <c r="I3" s="48"/>
      <c r="J3" s="48"/>
      <c r="K3" s="48" t="s">
        <v>287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47"/>
      <c r="L4" s="47"/>
      <c r="M4" s="37"/>
    </row>
    <row r="5" spans="1:12" ht="15">
      <c r="A5" s="49" t="s">
        <v>76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10" t="s">
        <v>290</v>
      </c>
      <c r="B6" s="10" t="s">
        <v>291</v>
      </c>
      <c r="C6" s="10" t="s">
        <v>292</v>
      </c>
      <c r="D6" s="10" t="str">
        <f>"0,8634"</f>
        <v>0,8634</v>
      </c>
      <c r="E6" s="10" t="s">
        <v>29</v>
      </c>
      <c r="F6" s="10" t="s">
        <v>45</v>
      </c>
      <c r="G6" s="12" t="s">
        <v>75</v>
      </c>
      <c r="H6" s="11" t="s">
        <v>36</v>
      </c>
      <c r="I6" s="11" t="s">
        <v>36</v>
      </c>
      <c r="J6" s="11"/>
      <c r="K6" s="10" t="str">
        <f>"40,0"</f>
        <v>40,0</v>
      </c>
      <c r="L6" s="12" t="str">
        <f>"34,5360"</f>
        <v>34,5360</v>
      </c>
      <c r="M6" s="10" t="s">
        <v>293</v>
      </c>
    </row>
    <row r="8" spans="1:12" ht="15">
      <c r="A8" s="51" t="s">
        <v>40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 ht="12.75">
      <c r="A9" s="13" t="s">
        <v>295</v>
      </c>
      <c r="B9" s="13" t="s">
        <v>296</v>
      </c>
      <c r="C9" s="13" t="s">
        <v>28</v>
      </c>
      <c r="D9" s="13" t="str">
        <f>"1,0469"</f>
        <v>1,0469</v>
      </c>
      <c r="E9" s="13" t="s">
        <v>297</v>
      </c>
      <c r="F9" s="13" t="s">
        <v>45</v>
      </c>
      <c r="G9" s="14" t="s">
        <v>298</v>
      </c>
      <c r="H9" s="14" t="s">
        <v>34</v>
      </c>
      <c r="I9" s="15" t="s">
        <v>75</v>
      </c>
      <c r="J9" s="15"/>
      <c r="K9" s="13" t="str">
        <f>"37,5"</f>
        <v>37,5</v>
      </c>
      <c r="L9" s="14" t="str">
        <f>"48,2883"</f>
        <v>48,2883</v>
      </c>
      <c r="M9" s="13" t="s">
        <v>181</v>
      </c>
    </row>
    <row r="10" spans="1:13" ht="12.75">
      <c r="A10" s="16" t="s">
        <v>300</v>
      </c>
      <c r="B10" s="16" t="s">
        <v>301</v>
      </c>
      <c r="C10" s="16" t="s">
        <v>302</v>
      </c>
      <c r="D10" s="16" t="str">
        <f>"0,9734"</f>
        <v>0,9734</v>
      </c>
      <c r="E10" s="16" t="s">
        <v>297</v>
      </c>
      <c r="F10" s="16" t="s">
        <v>45</v>
      </c>
      <c r="G10" s="18" t="s">
        <v>298</v>
      </c>
      <c r="H10" s="18" t="s">
        <v>34</v>
      </c>
      <c r="I10" s="18" t="s">
        <v>75</v>
      </c>
      <c r="J10" s="17"/>
      <c r="K10" s="16" t="str">
        <f>"40,0"</f>
        <v>40,0</v>
      </c>
      <c r="L10" s="18" t="str">
        <f>"47,8913"</f>
        <v>47,8913</v>
      </c>
      <c r="M10" s="16" t="s">
        <v>181</v>
      </c>
    </row>
    <row r="12" spans="1:12" ht="15">
      <c r="A12" s="51" t="s">
        <v>76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 ht="12.75">
      <c r="A13" s="13" t="s">
        <v>304</v>
      </c>
      <c r="B13" s="13" t="s">
        <v>305</v>
      </c>
      <c r="C13" s="13" t="s">
        <v>306</v>
      </c>
      <c r="D13" s="13" t="str">
        <f>"0,8271"</f>
        <v>0,8271</v>
      </c>
      <c r="E13" s="13" t="s">
        <v>297</v>
      </c>
      <c r="F13" s="13" t="s">
        <v>45</v>
      </c>
      <c r="G13" s="14" t="s">
        <v>70</v>
      </c>
      <c r="H13" s="14" t="s">
        <v>60</v>
      </c>
      <c r="I13" s="14" t="s">
        <v>31</v>
      </c>
      <c r="J13" s="15"/>
      <c r="K13" s="13" t="str">
        <f>"67,5"</f>
        <v>67,5</v>
      </c>
      <c r="L13" s="14" t="str">
        <f>"65,8785"</f>
        <v>65,8785</v>
      </c>
      <c r="M13" s="13" t="s">
        <v>307</v>
      </c>
    </row>
    <row r="14" spans="1:13" ht="12.75">
      <c r="A14" s="19" t="s">
        <v>309</v>
      </c>
      <c r="B14" s="19" t="s">
        <v>310</v>
      </c>
      <c r="C14" s="19" t="s">
        <v>311</v>
      </c>
      <c r="D14" s="19" t="str">
        <f>"0,8128"</f>
        <v>0,8128</v>
      </c>
      <c r="E14" s="19" t="s">
        <v>29</v>
      </c>
      <c r="F14" s="19" t="s">
        <v>45</v>
      </c>
      <c r="G14" s="20" t="s">
        <v>33</v>
      </c>
      <c r="H14" s="21" t="s">
        <v>129</v>
      </c>
      <c r="I14" s="20" t="s">
        <v>98</v>
      </c>
      <c r="J14" s="20"/>
      <c r="K14" s="19" t="str">
        <f>"85,0"</f>
        <v>85,0</v>
      </c>
      <c r="L14" s="21" t="str">
        <f>"69,7789"</f>
        <v>69,7789</v>
      </c>
      <c r="M14" s="19" t="s">
        <v>39</v>
      </c>
    </row>
    <row r="15" spans="1:13" ht="12.75">
      <c r="A15" s="16" t="s">
        <v>313</v>
      </c>
      <c r="B15" s="16" t="s">
        <v>314</v>
      </c>
      <c r="C15" s="16" t="s">
        <v>315</v>
      </c>
      <c r="D15" s="16" t="str">
        <f>"0,8580"</f>
        <v>0,8580</v>
      </c>
      <c r="E15" s="16" t="s">
        <v>297</v>
      </c>
      <c r="F15" s="16" t="s">
        <v>45</v>
      </c>
      <c r="G15" s="18" t="s">
        <v>57</v>
      </c>
      <c r="H15" s="18" t="s">
        <v>58</v>
      </c>
      <c r="I15" s="17" t="s">
        <v>59</v>
      </c>
      <c r="J15" s="17"/>
      <c r="K15" s="16" t="str">
        <f>"115,0"</f>
        <v>115,0</v>
      </c>
      <c r="L15" s="18" t="str">
        <f>"98,6700"</f>
        <v>98,6700</v>
      </c>
      <c r="M15" s="16" t="s">
        <v>181</v>
      </c>
    </row>
    <row r="17" spans="1:12" ht="15">
      <c r="A17" s="51" t="s">
        <v>51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3" ht="12.75">
      <c r="A18" s="13" t="s">
        <v>317</v>
      </c>
      <c r="B18" s="13" t="s">
        <v>318</v>
      </c>
      <c r="C18" s="13" t="s">
        <v>319</v>
      </c>
      <c r="D18" s="13" t="str">
        <f>"0,7889"</f>
        <v>0,7889</v>
      </c>
      <c r="E18" s="13" t="s">
        <v>29</v>
      </c>
      <c r="F18" s="13" t="s">
        <v>165</v>
      </c>
      <c r="G18" s="14" t="s">
        <v>70</v>
      </c>
      <c r="H18" s="14" t="s">
        <v>60</v>
      </c>
      <c r="I18" s="15" t="s">
        <v>61</v>
      </c>
      <c r="J18" s="15"/>
      <c r="K18" s="13" t="str">
        <f>"65,0"</f>
        <v>65,0</v>
      </c>
      <c r="L18" s="14" t="str">
        <f>"63,0726"</f>
        <v>63,0726</v>
      </c>
      <c r="M18" s="13" t="s">
        <v>320</v>
      </c>
    </row>
    <row r="19" spans="1:13" ht="12.75">
      <c r="A19" s="16" t="s">
        <v>322</v>
      </c>
      <c r="B19" s="16" t="s">
        <v>323</v>
      </c>
      <c r="C19" s="16" t="s">
        <v>324</v>
      </c>
      <c r="D19" s="16" t="str">
        <f>"0,7471"</f>
        <v>0,7471</v>
      </c>
      <c r="E19" s="16" t="s">
        <v>29</v>
      </c>
      <c r="F19" s="16" t="s">
        <v>165</v>
      </c>
      <c r="G19" s="18" t="s">
        <v>60</v>
      </c>
      <c r="H19" s="18" t="s">
        <v>61</v>
      </c>
      <c r="I19" s="18" t="s">
        <v>81</v>
      </c>
      <c r="J19" s="17"/>
      <c r="K19" s="16" t="str">
        <f>"72,5"</f>
        <v>72,5</v>
      </c>
      <c r="L19" s="18" t="str">
        <f>"66,6226"</f>
        <v>66,6226</v>
      </c>
      <c r="M19" s="16" t="s">
        <v>320</v>
      </c>
    </row>
    <row r="21" spans="1:12" ht="15">
      <c r="A21" s="51" t="s">
        <v>92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 ht="12.75">
      <c r="A22" s="10" t="s">
        <v>326</v>
      </c>
      <c r="B22" s="10" t="s">
        <v>327</v>
      </c>
      <c r="C22" s="10" t="s">
        <v>328</v>
      </c>
      <c r="D22" s="10" t="str">
        <f>"0,6789"</f>
        <v>0,6789</v>
      </c>
      <c r="E22" s="10" t="s">
        <v>29</v>
      </c>
      <c r="F22" s="10" t="s">
        <v>45</v>
      </c>
      <c r="G22" s="12" t="s">
        <v>57</v>
      </c>
      <c r="H22" s="12" t="s">
        <v>59</v>
      </c>
      <c r="I22" s="11" t="s">
        <v>63</v>
      </c>
      <c r="J22" s="11"/>
      <c r="K22" s="10" t="str">
        <f>"120,0"</f>
        <v>120,0</v>
      </c>
      <c r="L22" s="12" t="str">
        <f>"81,4680"</f>
        <v>81,4680</v>
      </c>
      <c r="M22" s="10" t="s">
        <v>329</v>
      </c>
    </row>
    <row r="24" spans="1:12" ht="15">
      <c r="A24" s="51" t="s">
        <v>111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 ht="12.75">
      <c r="A25" s="10" t="s">
        <v>331</v>
      </c>
      <c r="B25" s="10" t="s">
        <v>332</v>
      </c>
      <c r="C25" s="10" t="s">
        <v>333</v>
      </c>
      <c r="D25" s="10" t="str">
        <f>"0,6262"</f>
        <v>0,6262</v>
      </c>
      <c r="E25" s="10" t="s">
        <v>29</v>
      </c>
      <c r="F25" s="10" t="s">
        <v>30</v>
      </c>
      <c r="G25" s="11" t="s">
        <v>57</v>
      </c>
      <c r="H25" s="12" t="s">
        <v>130</v>
      </c>
      <c r="I25" s="11" t="s">
        <v>107</v>
      </c>
      <c r="J25" s="11"/>
      <c r="K25" s="10" t="str">
        <f>"130,0"</f>
        <v>130,0</v>
      </c>
      <c r="L25" s="12" t="str">
        <f>"81,4060"</f>
        <v>81,4060</v>
      </c>
      <c r="M25" s="10" t="s">
        <v>39</v>
      </c>
    </row>
    <row r="27" spans="1:12" ht="15">
      <c r="A27" s="51" t="s">
        <v>124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3" ht="12.75">
      <c r="A28" s="13" t="s">
        <v>335</v>
      </c>
      <c r="B28" s="13" t="s">
        <v>336</v>
      </c>
      <c r="C28" s="13" t="s">
        <v>337</v>
      </c>
      <c r="D28" s="13" t="str">
        <f>"0,6177"</f>
        <v>0,6177</v>
      </c>
      <c r="E28" s="13" t="s">
        <v>29</v>
      </c>
      <c r="F28" s="13" t="s">
        <v>45</v>
      </c>
      <c r="G28" s="15" t="s">
        <v>61</v>
      </c>
      <c r="H28" s="14" t="s">
        <v>37</v>
      </c>
      <c r="I28" s="15" t="s">
        <v>33</v>
      </c>
      <c r="J28" s="15"/>
      <c r="K28" s="13" t="str">
        <f>"77,5"</f>
        <v>77,5</v>
      </c>
      <c r="L28" s="14" t="str">
        <f>"56,4887"</f>
        <v>56,4887</v>
      </c>
      <c r="M28" s="13" t="s">
        <v>39</v>
      </c>
    </row>
    <row r="29" spans="1:13" ht="12.75">
      <c r="A29" s="19" t="s">
        <v>339</v>
      </c>
      <c r="B29" s="19" t="s">
        <v>340</v>
      </c>
      <c r="C29" s="19" t="s">
        <v>341</v>
      </c>
      <c r="D29" s="19" t="str">
        <f>"0,5905"</f>
        <v>0,5905</v>
      </c>
      <c r="E29" s="19" t="s">
        <v>29</v>
      </c>
      <c r="F29" s="19" t="s">
        <v>342</v>
      </c>
      <c r="G29" s="21" t="s">
        <v>89</v>
      </c>
      <c r="H29" s="21" t="s">
        <v>115</v>
      </c>
      <c r="I29" s="21" t="s">
        <v>107</v>
      </c>
      <c r="J29" s="20"/>
      <c r="K29" s="19" t="str">
        <f>"145,0"</f>
        <v>145,0</v>
      </c>
      <c r="L29" s="21" t="str">
        <f>"85,6225"</f>
        <v>85,6225</v>
      </c>
      <c r="M29" s="19" t="s">
        <v>39</v>
      </c>
    </row>
    <row r="30" spans="1:13" ht="12.75">
      <c r="A30" s="19" t="s">
        <v>344</v>
      </c>
      <c r="B30" s="19" t="s">
        <v>345</v>
      </c>
      <c r="C30" s="19" t="s">
        <v>346</v>
      </c>
      <c r="D30" s="19" t="str">
        <f>"0,5885"</f>
        <v>0,5885</v>
      </c>
      <c r="E30" s="19" t="s">
        <v>56</v>
      </c>
      <c r="F30" s="19" t="s">
        <v>45</v>
      </c>
      <c r="G30" s="21" t="s">
        <v>130</v>
      </c>
      <c r="H30" s="21" t="s">
        <v>89</v>
      </c>
      <c r="I30" s="21" t="s">
        <v>115</v>
      </c>
      <c r="J30" s="20"/>
      <c r="K30" s="19" t="str">
        <f>"140,0"</f>
        <v>140,0</v>
      </c>
      <c r="L30" s="21" t="str">
        <f>"82,3900"</f>
        <v>82,3900</v>
      </c>
      <c r="M30" s="19" t="s">
        <v>39</v>
      </c>
    </row>
    <row r="31" spans="1:13" ht="12.75">
      <c r="A31" s="16" t="s">
        <v>348</v>
      </c>
      <c r="B31" s="16" t="s">
        <v>349</v>
      </c>
      <c r="C31" s="16" t="s">
        <v>346</v>
      </c>
      <c r="D31" s="16" t="str">
        <f>"0,5885"</f>
        <v>0,5885</v>
      </c>
      <c r="E31" s="16" t="s">
        <v>29</v>
      </c>
      <c r="F31" s="16" t="s">
        <v>30</v>
      </c>
      <c r="G31" s="17" t="s">
        <v>57</v>
      </c>
      <c r="H31" s="18" t="s">
        <v>89</v>
      </c>
      <c r="I31" s="18" t="s">
        <v>115</v>
      </c>
      <c r="J31" s="17"/>
      <c r="K31" s="16" t="str">
        <f>"140,0"</f>
        <v>140,0</v>
      </c>
      <c r="L31" s="18" t="str">
        <f>"82,3900"</f>
        <v>82,3900</v>
      </c>
      <c r="M31" s="16" t="s">
        <v>39</v>
      </c>
    </row>
    <row r="33" spans="1:12" ht="15">
      <c r="A33" s="51" t="s">
        <v>141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3" ht="12.75">
      <c r="A34" s="13" t="s">
        <v>351</v>
      </c>
      <c r="B34" s="13" t="s">
        <v>352</v>
      </c>
      <c r="C34" s="13" t="s">
        <v>353</v>
      </c>
      <c r="D34" s="13" t="str">
        <f>"0,5558"</f>
        <v>0,5558</v>
      </c>
      <c r="E34" s="13" t="s">
        <v>29</v>
      </c>
      <c r="F34" s="13" t="s">
        <v>45</v>
      </c>
      <c r="G34" s="14" t="s">
        <v>121</v>
      </c>
      <c r="H34" s="14" t="s">
        <v>208</v>
      </c>
      <c r="I34" s="14" t="s">
        <v>122</v>
      </c>
      <c r="J34" s="15"/>
      <c r="K34" s="13" t="str">
        <f>"180,0"</f>
        <v>180,0</v>
      </c>
      <c r="L34" s="14" t="str">
        <f>"100,0440"</f>
        <v>100,0440</v>
      </c>
      <c r="M34" s="13" t="s">
        <v>354</v>
      </c>
    </row>
    <row r="35" spans="1:13" ht="12.75">
      <c r="A35" s="19" t="s">
        <v>355</v>
      </c>
      <c r="B35" s="19" t="s">
        <v>158</v>
      </c>
      <c r="C35" s="19" t="s">
        <v>145</v>
      </c>
      <c r="D35" s="19" t="str">
        <f>"0,5553"</f>
        <v>0,5553</v>
      </c>
      <c r="E35" s="19" t="s">
        <v>29</v>
      </c>
      <c r="F35" s="19" t="s">
        <v>45</v>
      </c>
      <c r="G35" s="21" t="s">
        <v>91</v>
      </c>
      <c r="H35" s="20" t="s">
        <v>146</v>
      </c>
      <c r="I35" s="21" t="s">
        <v>146</v>
      </c>
      <c r="J35" s="20"/>
      <c r="K35" s="19" t="str">
        <f>"165,0"</f>
        <v>165,0</v>
      </c>
      <c r="L35" s="21" t="str">
        <f>"91,6245"</f>
        <v>91,6245</v>
      </c>
      <c r="M35" s="19" t="s">
        <v>39</v>
      </c>
    </row>
    <row r="36" spans="1:13" ht="12.75">
      <c r="A36" s="16" t="s">
        <v>357</v>
      </c>
      <c r="B36" s="16" t="s">
        <v>358</v>
      </c>
      <c r="C36" s="16" t="s">
        <v>359</v>
      </c>
      <c r="D36" s="16" t="str">
        <f>"0,5591"</f>
        <v>0,5591</v>
      </c>
      <c r="E36" s="16" t="s">
        <v>297</v>
      </c>
      <c r="F36" s="16" t="s">
        <v>45</v>
      </c>
      <c r="G36" s="18" t="s">
        <v>109</v>
      </c>
      <c r="H36" s="18" t="s">
        <v>115</v>
      </c>
      <c r="I36" s="18" t="s">
        <v>269</v>
      </c>
      <c r="J36" s="17"/>
      <c r="K36" s="16" t="str">
        <f>"142,5"</f>
        <v>142,5</v>
      </c>
      <c r="L36" s="18" t="str">
        <f>"79,6717"</f>
        <v>79,6717</v>
      </c>
      <c r="M36" s="16" t="s">
        <v>307</v>
      </c>
    </row>
    <row r="38" spans="1:12" ht="15">
      <c r="A38" s="51" t="s">
        <v>402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3" ht="12.75">
      <c r="A39" s="10" t="s">
        <v>673</v>
      </c>
      <c r="B39" s="10" t="s">
        <v>408</v>
      </c>
      <c r="C39" s="10" t="s">
        <v>409</v>
      </c>
      <c r="D39" s="10" t="str">
        <f>"0,5279"</f>
        <v>0,5279</v>
      </c>
      <c r="E39" s="10" t="s">
        <v>29</v>
      </c>
      <c r="F39" s="10" t="s">
        <v>165</v>
      </c>
      <c r="G39" s="12" t="s">
        <v>89</v>
      </c>
      <c r="H39" s="11" t="s">
        <v>115</v>
      </c>
      <c r="I39" s="11" t="s">
        <v>90</v>
      </c>
      <c r="J39" s="11"/>
      <c r="K39" s="10" t="str">
        <f>"135,0"</f>
        <v>135,0</v>
      </c>
      <c r="L39" s="12" t="str">
        <f>"71,2665"</f>
        <v>71,2665</v>
      </c>
      <c r="M39" s="10" t="s">
        <v>39</v>
      </c>
    </row>
    <row r="41" ht="15">
      <c r="E41" s="8" t="s">
        <v>13</v>
      </c>
    </row>
    <row r="42" ht="15">
      <c r="E42" s="8" t="s">
        <v>14</v>
      </c>
    </row>
    <row r="43" ht="15">
      <c r="E43" s="8" t="s">
        <v>15</v>
      </c>
    </row>
    <row r="44" ht="15">
      <c r="E44" s="8" t="s">
        <v>16</v>
      </c>
    </row>
    <row r="45" ht="15">
      <c r="E45" s="8" t="s">
        <v>16</v>
      </c>
    </row>
    <row r="46" ht="15">
      <c r="E46" s="8" t="s">
        <v>17</v>
      </c>
    </row>
    <row r="47" ht="15">
      <c r="E47" s="8"/>
    </row>
    <row r="49" spans="1:2" ht="18">
      <c r="A49" s="9" t="s">
        <v>18</v>
      </c>
      <c r="B49" s="9"/>
    </row>
    <row r="50" spans="1:2" ht="15">
      <c r="A50" s="22" t="s">
        <v>182</v>
      </c>
      <c r="B50" s="22"/>
    </row>
    <row r="51" spans="1:2" ht="14.25">
      <c r="A51" s="24"/>
      <c r="B51" s="25" t="s">
        <v>193</v>
      </c>
    </row>
    <row r="52" spans="1:5" ht="15">
      <c r="A52" s="26" t="s">
        <v>184</v>
      </c>
      <c r="B52" s="26" t="s">
        <v>185</v>
      </c>
      <c r="C52" s="26" t="s">
        <v>186</v>
      </c>
      <c r="D52" s="26" t="s">
        <v>187</v>
      </c>
      <c r="E52" s="26" t="s">
        <v>188</v>
      </c>
    </row>
    <row r="53" spans="1:5" ht="12.75">
      <c r="A53" s="23" t="s">
        <v>289</v>
      </c>
      <c r="B53" s="4" t="s">
        <v>193</v>
      </c>
      <c r="C53" s="4" t="s">
        <v>213</v>
      </c>
      <c r="D53" s="4" t="s">
        <v>75</v>
      </c>
      <c r="E53" s="27" t="s">
        <v>360</v>
      </c>
    </row>
    <row r="56" spans="1:2" ht="15">
      <c r="A56" s="22" t="s">
        <v>198</v>
      </c>
      <c r="B56" s="22"/>
    </row>
    <row r="57" spans="1:2" ht="14.25">
      <c r="A57" s="24"/>
      <c r="B57" s="25" t="s">
        <v>199</v>
      </c>
    </row>
    <row r="58" spans="1:5" ht="15">
      <c r="A58" s="26" t="s">
        <v>184</v>
      </c>
      <c r="B58" s="26" t="s">
        <v>185</v>
      </c>
      <c r="C58" s="26" t="s">
        <v>186</v>
      </c>
      <c r="D58" s="26" t="s">
        <v>187</v>
      </c>
      <c r="E58" s="26" t="s">
        <v>188</v>
      </c>
    </row>
    <row r="59" spans="1:5" ht="12.75">
      <c r="A59" s="23" t="s">
        <v>321</v>
      </c>
      <c r="B59" s="4" t="s">
        <v>212</v>
      </c>
      <c r="C59" s="4" t="s">
        <v>190</v>
      </c>
      <c r="D59" s="4" t="s">
        <v>81</v>
      </c>
      <c r="E59" s="27" t="s">
        <v>361</v>
      </c>
    </row>
    <row r="60" spans="1:5" ht="12.75">
      <c r="A60" s="23" t="s">
        <v>303</v>
      </c>
      <c r="B60" s="4" t="s">
        <v>212</v>
      </c>
      <c r="C60" s="4" t="s">
        <v>213</v>
      </c>
      <c r="D60" s="4" t="s">
        <v>31</v>
      </c>
      <c r="E60" s="27" t="s">
        <v>362</v>
      </c>
    </row>
    <row r="61" spans="1:5" ht="12.75">
      <c r="A61" s="23" t="s">
        <v>316</v>
      </c>
      <c r="B61" s="4" t="s">
        <v>207</v>
      </c>
      <c r="C61" s="4" t="s">
        <v>190</v>
      </c>
      <c r="D61" s="4" t="s">
        <v>60</v>
      </c>
      <c r="E61" s="27" t="s">
        <v>363</v>
      </c>
    </row>
    <row r="62" spans="1:5" ht="12.75">
      <c r="A62" s="23" t="s">
        <v>334</v>
      </c>
      <c r="B62" s="4" t="s">
        <v>212</v>
      </c>
      <c r="C62" s="4" t="s">
        <v>204</v>
      </c>
      <c r="D62" s="4" t="s">
        <v>37</v>
      </c>
      <c r="E62" s="27" t="s">
        <v>364</v>
      </c>
    </row>
    <row r="63" spans="1:5" ht="12.75">
      <c r="A63" s="23" t="s">
        <v>294</v>
      </c>
      <c r="B63" s="4" t="s">
        <v>207</v>
      </c>
      <c r="C63" s="4" t="s">
        <v>194</v>
      </c>
      <c r="D63" s="4" t="s">
        <v>34</v>
      </c>
      <c r="E63" s="27" t="s">
        <v>365</v>
      </c>
    </row>
    <row r="64" spans="1:5" ht="12.75">
      <c r="A64" s="23" t="s">
        <v>299</v>
      </c>
      <c r="B64" s="4" t="s">
        <v>212</v>
      </c>
      <c r="C64" s="4" t="s">
        <v>194</v>
      </c>
      <c r="D64" s="4" t="s">
        <v>75</v>
      </c>
      <c r="E64" s="27" t="s">
        <v>366</v>
      </c>
    </row>
    <row r="66" spans="1:2" ht="14.25">
      <c r="A66" s="24"/>
      <c r="B66" s="25" t="s">
        <v>220</v>
      </c>
    </row>
    <row r="67" spans="1:5" ht="15">
      <c r="A67" s="26" t="s">
        <v>184</v>
      </c>
      <c r="B67" s="26" t="s">
        <v>185</v>
      </c>
      <c r="C67" s="26" t="s">
        <v>186</v>
      </c>
      <c r="D67" s="26" t="s">
        <v>187</v>
      </c>
      <c r="E67" s="26" t="s">
        <v>188</v>
      </c>
    </row>
    <row r="68" spans="1:5" ht="12.75">
      <c r="A68" s="23" t="s">
        <v>308</v>
      </c>
      <c r="B68" s="4" t="s">
        <v>221</v>
      </c>
      <c r="C68" s="4" t="s">
        <v>213</v>
      </c>
      <c r="D68" s="4" t="s">
        <v>129</v>
      </c>
      <c r="E68" s="27" t="s">
        <v>367</v>
      </c>
    </row>
    <row r="70" spans="1:2" ht="14.25">
      <c r="A70" s="24"/>
      <c r="B70" s="25" t="s">
        <v>193</v>
      </c>
    </row>
    <row r="71" spans="1:5" ht="15">
      <c r="A71" s="26" t="s">
        <v>184</v>
      </c>
      <c r="B71" s="26" t="s">
        <v>185</v>
      </c>
      <c r="C71" s="26" t="s">
        <v>186</v>
      </c>
      <c r="D71" s="26" t="s">
        <v>187</v>
      </c>
      <c r="E71" s="26" t="s">
        <v>188</v>
      </c>
    </row>
    <row r="72" spans="1:5" ht="12.75">
      <c r="A72" s="23" t="s">
        <v>350</v>
      </c>
      <c r="B72" s="4" t="s">
        <v>193</v>
      </c>
      <c r="C72" s="4" t="s">
        <v>200</v>
      </c>
      <c r="D72" s="4" t="s">
        <v>122</v>
      </c>
      <c r="E72" s="27" t="s">
        <v>368</v>
      </c>
    </row>
    <row r="73" spans="1:5" ht="12.75">
      <c r="A73" s="23" t="s">
        <v>312</v>
      </c>
      <c r="B73" s="4" t="s">
        <v>193</v>
      </c>
      <c r="C73" s="4" t="s">
        <v>213</v>
      </c>
      <c r="D73" s="4" t="s">
        <v>58</v>
      </c>
      <c r="E73" s="27" t="s">
        <v>369</v>
      </c>
    </row>
    <row r="74" spans="1:5" ht="12.75">
      <c r="A74" s="23" t="s">
        <v>156</v>
      </c>
      <c r="B74" s="4" t="s">
        <v>193</v>
      </c>
      <c r="C74" s="4" t="s">
        <v>200</v>
      </c>
      <c r="D74" s="4" t="s">
        <v>146</v>
      </c>
      <c r="E74" s="27" t="s">
        <v>370</v>
      </c>
    </row>
    <row r="75" spans="1:5" ht="12.75">
      <c r="A75" s="23" t="s">
        <v>338</v>
      </c>
      <c r="B75" s="4" t="s">
        <v>193</v>
      </c>
      <c r="C75" s="4" t="s">
        <v>204</v>
      </c>
      <c r="D75" s="4" t="s">
        <v>107</v>
      </c>
      <c r="E75" s="27" t="s">
        <v>371</v>
      </c>
    </row>
    <row r="76" spans="1:5" ht="12.75">
      <c r="A76" s="23" t="s">
        <v>343</v>
      </c>
      <c r="B76" s="4" t="s">
        <v>193</v>
      </c>
      <c r="C76" s="4" t="s">
        <v>204</v>
      </c>
      <c r="D76" s="4" t="s">
        <v>115</v>
      </c>
      <c r="E76" s="27" t="s">
        <v>372</v>
      </c>
    </row>
    <row r="77" spans="1:5" ht="12.75">
      <c r="A77" s="23" t="s">
        <v>347</v>
      </c>
      <c r="B77" s="4" t="s">
        <v>193</v>
      </c>
      <c r="C77" s="4" t="s">
        <v>204</v>
      </c>
      <c r="D77" s="4" t="s">
        <v>115</v>
      </c>
      <c r="E77" s="27" t="s">
        <v>372</v>
      </c>
    </row>
    <row r="78" spans="1:5" ht="12.75">
      <c r="A78" s="23" t="s">
        <v>325</v>
      </c>
      <c r="B78" s="4" t="s">
        <v>193</v>
      </c>
      <c r="C78" s="4" t="s">
        <v>210</v>
      </c>
      <c r="D78" s="4" t="s">
        <v>59</v>
      </c>
      <c r="E78" s="27" t="s">
        <v>373</v>
      </c>
    </row>
    <row r="79" spans="1:5" ht="12.75">
      <c r="A79" s="23" t="s">
        <v>330</v>
      </c>
      <c r="B79" s="4" t="s">
        <v>193</v>
      </c>
      <c r="C79" s="4" t="s">
        <v>229</v>
      </c>
      <c r="D79" s="4" t="s">
        <v>130</v>
      </c>
      <c r="E79" s="27" t="s">
        <v>374</v>
      </c>
    </row>
    <row r="80" spans="1:5" ht="12.75">
      <c r="A80" s="23" t="s">
        <v>356</v>
      </c>
      <c r="B80" s="4" t="s">
        <v>193</v>
      </c>
      <c r="C80" s="4" t="s">
        <v>200</v>
      </c>
      <c r="D80" s="4" t="s">
        <v>269</v>
      </c>
      <c r="E80" s="27" t="s">
        <v>375</v>
      </c>
    </row>
    <row r="81" spans="1:5" ht="12.75">
      <c r="A81" s="23" t="s">
        <v>407</v>
      </c>
      <c r="B81" s="4" t="s">
        <v>193</v>
      </c>
      <c r="C81" s="4" t="s">
        <v>420</v>
      </c>
      <c r="D81" s="4" t="s">
        <v>89</v>
      </c>
      <c r="E81" s="27" t="s">
        <v>425</v>
      </c>
    </row>
  </sheetData>
  <sheetProtection/>
  <mergeCells count="20">
    <mergeCell ref="A21:L21"/>
    <mergeCell ref="A24:L24"/>
    <mergeCell ref="A27:L27"/>
    <mergeCell ref="A33:L33"/>
    <mergeCell ref="A38:L3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7:L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5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53" t="s">
        <v>278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22</v>
      </c>
      <c r="L3" s="48"/>
      <c r="M3" s="48"/>
      <c r="N3" s="48"/>
      <c r="O3" s="48" t="s">
        <v>23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141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280</v>
      </c>
      <c r="B6" s="10" t="s">
        <v>281</v>
      </c>
      <c r="C6" s="10" t="s">
        <v>282</v>
      </c>
      <c r="D6" s="10" t="str">
        <f>"0,5624"</f>
        <v>0,5624</v>
      </c>
      <c r="E6" s="10" t="s">
        <v>29</v>
      </c>
      <c r="F6" s="10" t="s">
        <v>283</v>
      </c>
      <c r="G6" s="11" t="s">
        <v>166</v>
      </c>
      <c r="H6" s="12" t="s">
        <v>166</v>
      </c>
      <c r="I6" s="11" t="s">
        <v>147</v>
      </c>
      <c r="J6" s="11"/>
      <c r="K6" s="12" t="s">
        <v>122</v>
      </c>
      <c r="L6" s="12" t="s">
        <v>166</v>
      </c>
      <c r="M6" s="11" t="s">
        <v>138</v>
      </c>
      <c r="N6" s="11"/>
      <c r="O6" s="12" t="s">
        <v>147</v>
      </c>
      <c r="P6" s="11" t="s">
        <v>284</v>
      </c>
      <c r="Q6" s="11"/>
      <c r="R6" s="11"/>
      <c r="S6" s="10" t="str">
        <f>"620,0"</f>
        <v>620,0</v>
      </c>
      <c r="T6" s="12" t="str">
        <f>"348,6880"</f>
        <v>348,6880</v>
      </c>
      <c r="U6" s="10" t="s">
        <v>39</v>
      </c>
    </row>
    <row r="8" ht="15">
      <c r="E8" s="8" t="s">
        <v>13</v>
      </c>
    </row>
    <row r="9" ht="15">
      <c r="E9" s="8" t="s">
        <v>14</v>
      </c>
    </row>
    <row r="10" ht="15">
      <c r="E10" s="8" t="s">
        <v>15</v>
      </c>
    </row>
    <row r="11" ht="15">
      <c r="E11" s="8" t="s">
        <v>16</v>
      </c>
    </row>
    <row r="12" ht="15">
      <c r="E12" s="8" t="s">
        <v>16</v>
      </c>
    </row>
    <row r="13" ht="15">
      <c r="E13" s="8" t="s">
        <v>17</v>
      </c>
    </row>
    <row r="14" ht="15">
      <c r="E14" s="8"/>
    </row>
    <row r="16" spans="1:2" ht="18">
      <c r="A16" s="9" t="s">
        <v>18</v>
      </c>
      <c r="B16" s="9"/>
    </row>
    <row r="17" spans="1:2" ht="15">
      <c r="A17" s="22" t="s">
        <v>198</v>
      </c>
      <c r="B17" s="22"/>
    </row>
    <row r="18" spans="1:2" ht="14.25">
      <c r="A18" s="24"/>
      <c r="B18" s="25" t="s">
        <v>193</v>
      </c>
    </row>
    <row r="19" spans="1:5" ht="15">
      <c r="A19" s="26" t="s">
        <v>184</v>
      </c>
      <c r="B19" s="26" t="s">
        <v>185</v>
      </c>
      <c r="C19" s="26" t="s">
        <v>186</v>
      </c>
      <c r="D19" s="26" t="s">
        <v>187</v>
      </c>
      <c r="E19" s="26" t="s">
        <v>188</v>
      </c>
    </row>
    <row r="20" spans="1:5" ht="12.75">
      <c r="A20" s="23" t="s">
        <v>279</v>
      </c>
      <c r="B20" s="4" t="s">
        <v>193</v>
      </c>
      <c r="C20" s="4" t="s">
        <v>200</v>
      </c>
      <c r="D20" s="4" t="s">
        <v>285</v>
      </c>
      <c r="E20" s="27" t="s">
        <v>286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1.625" style="4" bestFit="1" customWidth="1"/>
    <col min="22" max="16384" width="9.125" style="3" customWidth="1"/>
  </cols>
  <sheetData>
    <row r="1" spans="1:21" s="2" customFormat="1" ht="28.5" customHeight="1">
      <c r="A1" s="53" t="s">
        <v>250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10</v>
      </c>
      <c r="C3" s="46" t="s">
        <v>11</v>
      </c>
      <c r="D3" s="48" t="s">
        <v>20</v>
      </c>
      <c r="E3" s="48" t="s">
        <v>7</v>
      </c>
      <c r="F3" s="48" t="s">
        <v>12</v>
      </c>
      <c r="G3" s="48" t="s">
        <v>21</v>
      </c>
      <c r="H3" s="48"/>
      <c r="I3" s="48"/>
      <c r="J3" s="48"/>
      <c r="K3" s="48" t="s">
        <v>22</v>
      </c>
      <c r="L3" s="48"/>
      <c r="M3" s="48"/>
      <c r="N3" s="48"/>
      <c r="O3" s="48" t="s">
        <v>23</v>
      </c>
      <c r="P3" s="48"/>
      <c r="Q3" s="48"/>
      <c r="R3" s="48"/>
      <c r="S3" s="48" t="s">
        <v>4</v>
      </c>
      <c r="T3" s="48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37"/>
    </row>
    <row r="5" spans="1:20" ht="15">
      <c r="A5" s="49" t="s">
        <v>92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10" t="s">
        <v>252</v>
      </c>
      <c r="B6" s="10" t="s">
        <v>253</v>
      </c>
      <c r="C6" s="10" t="s">
        <v>254</v>
      </c>
      <c r="D6" s="10" t="str">
        <f>"0,7472"</f>
        <v>0,7472</v>
      </c>
      <c r="E6" s="10" t="s">
        <v>56</v>
      </c>
      <c r="F6" s="10" t="s">
        <v>45</v>
      </c>
      <c r="G6" s="12" t="s">
        <v>83</v>
      </c>
      <c r="H6" s="12" t="s">
        <v>98</v>
      </c>
      <c r="I6" s="12" t="s">
        <v>48</v>
      </c>
      <c r="J6" s="11"/>
      <c r="K6" s="11" t="s">
        <v>129</v>
      </c>
      <c r="L6" s="11" t="s">
        <v>129</v>
      </c>
      <c r="M6" s="12" t="s">
        <v>129</v>
      </c>
      <c r="N6" s="11"/>
      <c r="O6" s="12" t="s">
        <v>48</v>
      </c>
      <c r="P6" s="12" t="s">
        <v>108</v>
      </c>
      <c r="Q6" s="12" t="s">
        <v>57</v>
      </c>
      <c r="R6" s="11"/>
      <c r="S6" s="10" t="str">
        <f>"295,0"</f>
        <v>295,0</v>
      </c>
      <c r="T6" s="12" t="str">
        <f>"220,4093"</f>
        <v>220,4093</v>
      </c>
      <c r="U6" s="10" t="s">
        <v>64</v>
      </c>
    </row>
    <row r="8" spans="1:20" ht="15">
      <c r="A8" s="51" t="s">
        <v>92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1" ht="12.75">
      <c r="A9" s="10" t="s">
        <v>256</v>
      </c>
      <c r="B9" s="10" t="s">
        <v>257</v>
      </c>
      <c r="C9" s="10" t="s">
        <v>258</v>
      </c>
      <c r="D9" s="10" t="str">
        <f>"0,6723"</f>
        <v>0,6723</v>
      </c>
      <c r="E9" s="10" t="s">
        <v>56</v>
      </c>
      <c r="F9" s="10" t="s">
        <v>45</v>
      </c>
      <c r="G9" s="12" t="s">
        <v>59</v>
      </c>
      <c r="H9" s="11"/>
      <c r="I9" s="11"/>
      <c r="J9" s="11"/>
      <c r="K9" s="12" t="s">
        <v>98</v>
      </c>
      <c r="L9" s="11" t="s">
        <v>259</v>
      </c>
      <c r="M9" s="11" t="s">
        <v>48</v>
      </c>
      <c r="N9" s="11"/>
      <c r="O9" s="12" t="s">
        <v>59</v>
      </c>
      <c r="P9" s="12" t="s">
        <v>130</v>
      </c>
      <c r="Q9" s="12" t="s">
        <v>115</v>
      </c>
      <c r="R9" s="11"/>
      <c r="S9" s="10" t="str">
        <f>"355,0"</f>
        <v>355,0</v>
      </c>
      <c r="T9" s="12" t="str">
        <f>"238,6665"</f>
        <v>238,6665</v>
      </c>
      <c r="U9" s="10" t="s">
        <v>64</v>
      </c>
    </row>
    <row r="11" spans="1:20" ht="15">
      <c r="A11" s="51" t="s">
        <v>111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1" ht="12.75">
      <c r="A12" s="10" t="s">
        <v>261</v>
      </c>
      <c r="B12" s="10" t="s">
        <v>262</v>
      </c>
      <c r="C12" s="10" t="s">
        <v>263</v>
      </c>
      <c r="D12" s="10" t="str">
        <f>"0,6219"</f>
        <v>0,6219</v>
      </c>
      <c r="E12" s="10" t="s">
        <v>56</v>
      </c>
      <c r="F12" s="10" t="s">
        <v>45</v>
      </c>
      <c r="G12" s="12" t="s">
        <v>130</v>
      </c>
      <c r="H12" s="12" t="s">
        <v>115</v>
      </c>
      <c r="I12" s="11" t="s">
        <v>107</v>
      </c>
      <c r="J12" s="11"/>
      <c r="K12" s="12" t="s">
        <v>130</v>
      </c>
      <c r="L12" s="12" t="s">
        <v>115</v>
      </c>
      <c r="M12" s="12" t="s">
        <v>264</v>
      </c>
      <c r="N12" s="11" t="s">
        <v>90</v>
      </c>
      <c r="O12" s="11" t="s">
        <v>115</v>
      </c>
      <c r="P12" s="12" t="s">
        <v>90</v>
      </c>
      <c r="Q12" s="12" t="s">
        <v>121</v>
      </c>
      <c r="R12" s="11"/>
      <c r="S12" s="10" t="str">
        <f>"462,5"</f>
        <v>462,5</v>
      </c>
      <c r="T12" s="12" t="str">
        <f>"287,6288"</f>
        <v>287,6288</v>
      </c>
      <c r="U12" s="10" t="s">
        <v>64</v>
      </c>
    </row>
    <row r="14" spans="1:20" ht="15">
      <c r="A14" s="51" t="s">
        <v>141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1" ht="12.75">
      <c r="A15" s="10" t="s">
        <v>266</v>
      </c>
      <c r="B15" s="10" t="s">
        <v>267</v>
      </c>
      <c r="C15" s="10" t="s">
        <v>268</v>
      </c>
      <c r="D15" s="10" t="str">
        <f>"0,5545"</f>
        <v>0,5545</v>
      </c>
      <c r="E15" s="10" t="s">
        <v>56</v>
      </c>
      <c r="F15" s="10" t="s">
        <v>45</v>
      </c>
      <c r="G15" s="12" t="s">
        <v>91</v>
      </c>
      <c r="H15" s="11"/>
      <c r="I15" s="11"/>
      <c r="J15" s="11"/>
      <c r="K15" s="12" t="s">
        <v>130</v>
      </c>
      <c r="L15" s="12" t="s">
        <v>269</v>
      </c>
      <c r="M15" s="12" t="s">
        <v>90</v>
      </c>
      <c r="N15" s="11"/>
      <c r="O15" s="12" t="s">
        <v>166</v>
      </c>
      <c r="P15" s="11" t="s">
        <v>138</v>
      </c>
      <c r="Q15" s="12" t="s">
        <v>138</v>
      </c>
      <c r="R15" s="11"/>
      <c r="S15" s="10" t="str">
        <f>"520,0"</f>
        <v>520,0</v>
      </c>
      <c r="T15" s="12" t="str">
        <f>"288,3400"</f>
        <v>288,3400</v>
      </c>
      <c r="U15" s="10" t="s">
        <v>64</v>
      </c>
    </row>
    <row r="17" ht="15">
      <c r="E17" s="8" t="s">
        <v>13</v>
      </c>
    </row>
    <row r="18" ht="15">
      <c r="E18" s="8" t="s">
        <v>14</v>
      </c>
    </row>
    <row r="19" ht="15">
      <c r="E19" s="8" t="s">
        <v>15</v>
      </c>
    </row>
    <row r="20" ht="15">
      <c r="E20" s="8" t="s">
        <v>16</v>
      </c>
    </row>
    <row r="21" ht="15">
      <c r="E21" s="8" t="s">
        <v>16</v>
      </c>
    </row>
    <row r="22" ht="15">
      <c r="E22" s="8" t="s">
        <v>17</v>
      </c>
    </row>
    <row r="23" ht="15">
      <c r="E23" s="8"/>
    </row>
    <row r="25" spans="1:2" ht="18">
      <c r="A25" s="9" t="s">
        <v>18</v>
      </c>
      <c r="B25" s="9"/>
    </row>
    <row r="26" spans="1:2" ht="15">
      <c r="A26" s="22" t="s">
        <v>182</v>
      </c>
      <c r="B26" s="22"/>
    </row>
    <row r="27" spans="1:2" ht="14.25">
      <c r="A27" s="24"/>
      <c r="B27" s="25" t="s">
        <v>236</v>
      </c>
    </row>
    <row r="28" spans="1:5" ht="15">
      <c r="A28" s="26" t="s">
        <v>184</v>
      </c>
      <c r="B28" s="26" t="s">
        <v>185</v>
      </c>
      <c r="C28" s="26" t="s">
        <v>186</v>
      </c>
      <c r="D28" s="26" t="s">
        <v>187</v>
      </c>
      <c r="E28" s="26" t="s">
        <v>188</v>
      </c>
    </row>
    <row r="29" spans="1:5" ht="12.75">
      <c r="A29" s="23" t="s">
        <v>251</v>
      </c>
      <c r="B29" s="4" t="s">
        <v>237</v>
      </c>
      <c r="C29" s="4" t="s">
        <v>210</v>
      </c>
      <c r="D29" s="4" t="s">
        <v>270</v>
      </c>
      <c r="E29" s="27" t="s">
        <v>271</v>
      </c>
    </row>
    <row r="32" spans="1:2" ht="15">
      <c r="A32" s="22" t="s">
        <v>198</v>
      </c>
      <c r="B32" s="22"/>
    </row>
    <row r="33" spans="1:2" ht="14.25">
      <c r="A33" s="24"/>
      <c r="B33" s="25" t="s">
        <v>193</v>
      </c>
    </row>
    <row r="34" spans="1:5" ht="15">
      <c r="A34" s="26" t="s">
        <v>184</v>
      </c>
      <c r="B34" s="26" t="s">
        <v>185</v>
      </c>
      <c r="C34" s="26" t="s">
        <v>186</v>
      </c>
      <c r="D34" s="26" t="s">
        <v>187</v>
      </c>
      <c r="E34" s="26" t="s">
        <v>188</v>
      </c>
    </row>
    <row r="35" spans="1:5" ht="12.75">
      <c r="A35" s="23" t="s">
        <v>265</v>
      </c>
      <c r="B35" s="4" t="s">
        <v>193</v>
      </c>
      <c r="C35" s="4" t="s">
        <v>200</v>
      </c>
      <c r="D35" s="4" t="s">
        <v>272</v>
      </c>
      <c r="E35" s="27" t="s">
        <v>273</v>
      </c>
    </row>
    <row r="36" spans="1:5" ht="12.75">
      <c r="A36" s="23" t="s">
        <v>260</v>
      </c>
      <c r="B36" s="4" t="s">
        <v>193</v>
      </c>
      <c r="C36" s="4" t="s">
        <v>229</v>
      </c>
      <c r="D36" s="4" t="s">
        <v>274</v>
      </c>
      <c r="E36" s="27" t="s">
        <v>275</v>
      </c>
    </row>
    <row r="37" spans="1:5" ht="12.75">
      <c r="A37" s="23" t="s">
        <v>255</v>
      </c>
      <c r="B37" s="4" t="s">
        <v>193</v>
      </c>
      <c r="C37" s="4" t="s">
        <v>210</v>
      </c>
      <c r="D37" s="4" t="s">
        <v>276</v>
      </c>
      <c r="E37" s="27" t="s">
        <v>277</v>
      </c>
    </row>
  </sheetData>
  <sheetProtection/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2019-09-16T16:27:43Z</dcterms:modified>
  <cp:category/>
  <cp:version/>
  <cp:contentType/>
  <cp:contentStatus/>
</cp:coreProperties>
</file>